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'공장창고매물'!$A$1:$AD$711</definedName>
    <definedName name="_xlnm._FilterDatabase" localSheetId="1" hidden="1">'주택매물'!$A$1:$AA$1684</definedName>
    <definedName name="_xlnm._FilterDatabase" localSheetId="2" hidden="1">'토지매물'!$A$1:$V$3238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HYPERLINK("https://fin.land.naver.com/articles/2655387801",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주건축물제2동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11.5m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주건축물제2동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11.5m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HYPERLINK("https://fin.land.naver.com/articles/2656232653",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30332</v>
      </c>
      <c r="I35" s="4" t="n">
        <v>9175</v>
      </c>
      <c r="J35" s="5" t="n">
        <v>218</v>
      </c>
      <c r="K35" s="4" t="n">
        <v>19784</v>
      </c>
      <c r="L35" s="4" t="n">
        <v>5985</v>
      </c>
      <c r="M35" s="5" t="n">
        <v>334.2</v>
      </c>
      <c r="N35" s="3" t="inlineStr">
        <is>
          <t>3</t>
        </is>
      </c>
      <c r="O35" s="3" t="inlineStr">
        <is>
          <t>-</t>
        </is>
      </c>
      <c r="P35" s="3" t="inlineStr">
        <is>
          <t>강내일반산업단지 인근 대형물류센터 및 대형공장 강력추천 매매물건</t>
        </is>
      </c>
      <c r="Q35" s="6">
        <f>HYPERLINK("https://fin.land.naver.com/articles/2651989648",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태광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HYPERLINK("https://fin.land.naver.com/articles/2654536778",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</t>
        </is>
      </c>
      <c r="Q42" s="6">
        <f>HYPERLINK("https://fin.land.naver.com/articles/2654417797",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주건축물제4동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10000</v>
      </c>
      <c r="G43" s="4" t="n">
        <v>540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강내면 2차선 도로변 첫 입주 신축창고 및 제조업소 임대</t>
        </is>
      </c>
      <c r="Q43" s="6">
        <f>HYPERLINK("https://fin.land.naver.com/articles/2655964337",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청담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729</v>
      </c>
      <c r="L44" s="4" t="n">
        <v>221</v>
      </c>
      <c r="M44" s="5" t="n">
        <v>0.7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HYPERLINK("https://fin.land.naver.com/articles/2651733991",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HYPERLINK("https://fin.land.naver.com/articles/2654699139",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HYPERLINK("https://fin.land.naver.com/articles/2654719601",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HYPERLINK("https://fin.land.naver.com/articles/2654684640",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HYPERLINK("https://fin.land.naver.com/articles/2656354762",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HYPERLINK("https://fin.land.naver.com/articles/2655804898",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2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205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공장</t>
        </is>
      </c>
      <c r="E51" s="3" t="inlineStr">
        <is>
          <t>매매</t>
        </is>
      </c>
      <c r="F51" s="4" t="n">
        <v>150000</v>
      </c>
      <c r="G51" s="4" t="n">
        <v>0</v>
      </c>
      <c r="H51" s="4" t="n">
        <v>1977</v>
      </c>
      <c r="I51" s="4" t="n">
        <v>598</v>
      </c>
      <c r="J51" s="5" t="n">
        <v>250.8</v>
      </c>
      <c r="K51" s="4" t="n">
        <v>468</v>
      </c>
      <c r="L51" s="4" t="n">
        <v>142</v>
      </c>
      <c r="M51" s="5" t="n">
        <v>1056.3</v>
      </c>
      <c r="N51" s="3" t="inlineStr">
        <is>
          <t>1</t>
        </is>
      </c>
      <c r="O51" s="3" t="inlineStr">
        <is>
          <t>-</t>
        </is>
      </c>
      <c r="P51" s="3" t="inlineStr">
        <is>
          <t>도로 접근성이 뛰어난 입지로 차량진출입이 용이합니다</t>
        </is>
      </c>
      <c r="Q51" s="6">
        <f>HYPERLINK("https://fin.land.naver.com/articles/2656440482", "매물Link")</f>
        <v/>
      </c>
      <c r="R51" s="6">
        <f>HYPERLINK("https://map.naver.com/p/search/강내면 연정리 205", "지도Link")</f>
        <v/>
      </c>
      <c r="S51" s="6">
        <f>HYPERLINK("http://www.eum.go.kr/web/ar/lu/luLandDet.jsp?pnu=4311331021102050000&amp;isNoScr=script&amp;mode=search",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49.3</v>
      </c>
      <c r="W51" s="4" t="n">
        <v>1977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7.7m</t>
        </is>
      </c>
      <c r="AC51" s="3" t="inlineStr">
        <is>
          <t>2023-09</t>
        </is>
      </c>
      <c r="AD51" s="3" t="inlineStr">
        <is>
          <t>소로한면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HYPERLINK("https://fin.land.naver.com/articles/2653838996",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HYPERLINK("https://fin.land.naver.com/articles/2653836477",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180</v>
      </c>
      <c r="H56" s="4" t="n">
        <v>1740</v>
      </c>
      <c r="I56" s="4" t="n">
        <v>526</v>
      </c>
      <c r="J56" s="5" t="n">
        <v>0.3</v>
      </c>
      <c r="K56" s="4" t="n">
        <v>482</v>
      </c>
      <c r="L56" s="4" t="n">
        <v>146</v>
      </c>
      <c r="M56" s="5" t="n">
        <v>1.2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 1층임대</t>
        </is>
      </c>
      <c r="Q56" s="6">
        <f>HYPERLINK("https://fin.land.naver.com/articles/2656394792",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HYPERLINK("https://fin.land.naver.com/articles/2655671167",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강내면 대형차 진출입 및 회차 편리한 소형 창고</t>
        </is>
      </c>
      <c r="Q58" s="6">
        <f>HYPERLINK("https://fin.land.naver.com/articles/2654245790",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더원</t>
        </is>
      </c>
      <c r="U58" s="4" t="n">
        <v>3</v>
      </c>
      <c r="V58" s="5" t="n">
        <v>35.2</v>
      </c>
      <c r="W58" s="4" t="n">
        <v>998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8.21m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단독으로 넓은 마당 사용 가능한 창고</t>
        </is>
      </c>
      <c r="Q60" s="6">
        <f>HYPERLINK("https://fin.land.naver.com/articles/2654258717",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3438</v>
      </c>
      <c r="I61" s="4" t="n">
        <v>1040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HYPERLINK("https://fin.land.naver.com/articles/2655519562",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창고의여왕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3370</v>
      </c>
      <c r="I62" s="4" t="n">
        <v>1019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개인 전용마당 매우 넓은 귀한 창고임대 1종근생</t>
        </is>
      </c>
      <c r="Q62" s="6">
        <f>HYPERLINK("https://fin.land.naver.com/articles/2652795998",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태광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247-3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1500</v>
      </c>
      <c r="G63" s="4" t="n">
        <v>110</v>
      </c>
      <c r="H63" s="4" t="n">
        <v>629</v>
      </c>
      <c r="I63" s="4" t="n">
        <v>190</v>
      </c>
      <c r="J63" s="5" t="n">
        <v>0.6</v>
      </c>
      <c r="K63" s="4" t="n">
        <v>149</v>
      </c>
      <c r="L63" s="4" t="n">
        <v>45</v>
      </c>
      <c r="M63" s="5" t="n">
        <v>2.4</v>
      </c>
      <c r="N63" s="3" t="inlineStr">
        <is>
          <t>1</t>
        </is>
      </c>
      <c r="O63" s="3" t="inlineStr">
        <is>
          <t>-</t>
        </is>
      </c>
      <c r="P63" s="3" t="inlineStr">
        <is>
          <t>사진有 창고 임대</t>
        </is>
      </c>
      <c r="Q63" s="6">
        <f>HYPERLINK("https://fin.land.naver.com/articles/2652988597", "매물Link")</f>
        <v/>
      </c>
      <c r="R63" s="6">
        <f>HYPERLINK("https://map.naver.com/p/search/강내면 저산리 247-3", "지도Link")</f>
        <v/>
      </c>
      <c r="S63" s="6">
        <f>HYPERLINK("http://www.eum.go.kr/web/ar/lu/luLandDet.jsp?pnu=4311331023102470003&amp;isNoScr=script&amp;mode=search", "토지이음")</f>
        <v/>
      </c>
      <c r="T63" s="3" t="inlineStr">
        <is>
          <t>월드</t>
        </is>
      </c>
      <c r="U63" s="4" t="n">
        <v>1</v>
      </c>
      <c r="V63" s="5" t="n">
        <v>35.2</v>
      </c>
      <c r="W63" s="4" t="n">
        <v>629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8.61m</t>
        </is>
      </c>
      <c r="AC63" s="3" t="inlineStr">
        <is>
          <t>2024-03</t>
        </is>
      </c>
      <c r="AD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HYPERLINK("https://fin.land.naver.com/articles/2652009809",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HYPERLINK("http://www.eum.go.kr/web/ar/lu/luLandDet.jsp?pnu=4311331031102950005&amp;isNoScr=script&amp;mode=search",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 설치 야드 넓은 단독 공장 ,창고 임대</t>
        </is>
      </c>
      <c r="Q71" s="6">
        <f>HYPERLINK("https://fin.land.naver.com/articles/2654799933",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준신축 공장 호이스트 3ton</t>
        </is>
      </c>
      <c r="Q72" s="6">
        <f>HYPERLINK("https://fin.land.naver.com/articles/2654091247",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수풀림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HYPERLINK("https://fin.land.naver.com/articles/2655095703",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HYPERLINK("https://fin.land.naver.com/articles/2655679235",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2</t>
        </is>
      </c>
      <c r="O80" s="3" t="inlineStr">
        <is>
          <t>B2</t>
        </is>
      </c>
      <c r="P80" s="3" t="inlineStr">
        <is>
          <t>현재공실, 대형차진입가능. 청주ic 강내산업단지인근 오송산업단지인근</t>
        </is>
      </c>
      <c r="Q80" s="6">
        <f>HYPERLINK("https://fin.land.naver.com/articles/2654375140",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15000</v>
      </c>
      <c r="G87" s="4" t="n">
        <v>1500</v>
      </c>
      <c r="H87" s="4" t="n">
        <v>9917</v>
      </c>
      <c r="I87" s="4" t="n">
        <v>3000</v>
      </c>
      <c r="J87" s="5" t="n">
        <v>0.5</v>
      </c>
      <c r="K87" s="4" t="n">
        <v>1980</v>
      </c>
      <c r="L87" s="4" t="n">
        <v>599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2차선대로 강내하이테크밸리 산업단지접근성좋으며 단독사용가능한 넓은마당</t>
        </is>
      </c>
      <c r="Q87" s="6">
        <f>HYPERLINK("https://fin.land.naver.com/articles/2654182425",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2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9579</v>
      </c>
      <c r="I90" s="4" t="n">
        <v>2898</v>
      </c>
      <c r="J90" s="5" t="n">
        <v>1.3</v>
      </c>
      <c r="K90" s="4" t="n">
        <v>5224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HYPERLINK("https://fin.land.naver.com/articles/2651984566",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17500</v>
      </c>
      <c r="G91" s="4" t="n">
        <v>1750</v>
      </c>
      <c r="H91" s="4" t="n">
        <v>209096</v>
      </c>
      <c r="I91" s="4" t="n">
        <v>63252</v>
      </c>
      <c r="J91" s="5" t="n">
        <v>0</v>
      </c>
      <c r="K91" s="4" t="n">
        <v>2291</v>
      </c>
      <c r="L91" s="4" t="n">
        <v>693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사진有 창고 임대</t>
        </is>
      </c>
      <c r="Q91" s="6">
        <f>HYPERLINK("https://fin.land.naver.com/articles/2652988487",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월드</t>
        </is>
      </c>
      <c r="U91" s="4" t="n">
        <v>1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2400</v>
      </c>
      <c r="H92" s="4" t="n">
        <v>9917</v>
      </c>
      <c r="I92" s="4" t="n">
        <v>3000</v>
      </c>
      <c r="J92" s="5" t="n">
        <v>0.8</v>
      </c>
      <c r="K92" s="4" t="n">
        <v>3765</v>
      </c>
      <c r="L92" s="4" t="n">
        <v>1139</v>
      </c>
      <c r="M92" s="5" t="n">
        <v>2.1</v>
      </c>
      <c r="N92" s="3" t="inlineStr">
        <is>
          <t>1</t>
        </is>
      </c>
      <c r="O92" s="3" t="inlineStr">
        <is>
          <t>-</t>
        </is>
      </c>
      <c r="P92" s="3" t="inlineStr">
        <is>
          <t>2차선진입대형차진출입용이 공장및 창고적합  야드면적 별도임대가능</t>
        </is>
      </c>
      <c r="Q92" s="6">
        <f>HYPERLINK("https://fin.land.naver.com/articles/2652625260",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오송, 청주시내, 세종시 접근성 좋은 2차선 도로변 신축급 창고 임대</t>
        </is>
      </c>
      <c r="Q94" s="6">
        <f>HYPERLINK("https://fin.land.naver.com/articles/2654666495",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청담</t>
        </is>
      </c>
      <c r="U94" s="4" t="n">
        <v>4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87000</v>
      </c>
      <c r="G95" s="4" t="n">
        <v>0</v>
      </c>
      <c r="H95" s="4" t="n">
        <v>840</v>
      </c>
      <c r="I95" s="4" t="n">
        <v>254</v>
      </c>
      <c r="J95" s="5" t="n">
        <v>342.5</v>
      </c>
      <c r="K95" s="4" t="n">
        <v>327</v>
      </c>
      <c r="L95" s="4" t="n">
        <v>99</v>
      </c>
      <c r="M95" s="5" t="n">
        <v>878.8</v>
      </c>
      <c r="N95" s="3" t="inlineStr">
        <is>
          <t>1</t>
        </is>
      </c>
      <c r="O95" s="3" t="inlineStr">
        <is>
          <t>-</t>
        </is>
      </c>
      <c r="P95" s="3" t="inlineStr">
        <is>
          <t>2차선접</t>
        </is>
      </c>
      <c r="Q95" s="6">
        <f>HYPERLINK("https://fin.land.naver.com/articles/2653319438",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HYPERLINK("https://fin.land.naver.com/articles/2654630654",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HYPERLINK("https://fin.land.naver.com/articles/2653351728",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12분, 내부 사무실 있음</t>
        </is>
      </c>
      <c r="Q103" s="6">
        <f>HYPERLINK("https://fin.land.naver.com/articles/2655799038",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 12 분 대형차 진출입 물류이동 편리</t>
        </is>
      </c>
      <c r="Q105" s="6">
        <f>HYPERLINK("https://fin.land.naver.com/articles/2651673536",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2497</v>
      </c>
      <c r="I106" s="4" t="n">
        <v>755</v>
      </c>
      <c r="J106" s="5" t="n">
        <v>0.8</v>
      </c>
      <c r="K106" s="4" t="n">
        <v>976</v>
      </c>
      <c r="L106" s="4" t="n">
        <v>295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 有, 대형차량 진출입 편리, 청주ic 12분</t>
        </is>
      </c>
      <c r="Q106" s="6">
        <f>HYPERLINK("https://fin.land.naver.com/articles/2651941693", "매물Link")</f>
        <v/>
      </c>
      <c r="R106" s="6">
        <f>HYPERLINK("https://map.naver.com/p/search/강내면 태성리 335-4", "지도Link")</f>
        <v/>
      </c>
      <c r="S106" s="6">
        <f>HYPERLINK("http://www.eum.go.kr/web/ar/lu/luLandDet.jsp?pnu=4311331027103350004&amp;isNoScr=script&amp;mode=search", "토지이음")</f>
        <v/>
      </c>
      <c r="T106" s="3" t="inlineStr">
        <is>
          <t>나는</t>
        </is>
      </c>
      <c r="U106" s="4" t="n">
        <v>2</v>
      </c>
      <c r="V106" s="5" t="n">
        <v>53.2</v>
      </c>
      <c r="W106" s="4" t="n">
        <v>2497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세로한면(가)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HYPERLINK("https://fin.land.naver.com/articles/2654519146",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900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2.1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청주IC10분, 넓은 마당, 층고 9m, 공장 및 물류창고로 단독 사용</t>
        </is>
      </c>
      <c r="Q112" s="6">
        <f>HYPERLINK("https://fin.land.naver.com/articles/2654665780",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청담</t>
        </is>
      </c>
      <c r="U112" s="4" t="n">
        <v>3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440</v>
      </c>
      <c r="H113" s="4" t="n">
        <v>3500</v>
      </c>
      <c r="I113" s="4" t="n">
        <v>1059</v>
      </c>
      <c r="J113" s="5" t="n">
        <v>0.4</v>
      </c>
      <c r="K113" s="4" t="n">
        <v>720</v>
      </c>
      <c r="L113" s="4" t="n">
        <v>218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오송세종청주를 잇는 최적의 산업 입지와 접근성을 모두 갖춘 위치</t>
        </is>
      </c>
      <c r="Q113" s="6">
        <f>HYPERLINK("https://fin.land.naver.com/articles/2653371456",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392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230</v>
      </c>
      <c r="H115" s="4" t="n">
        <v>1434</v>
      </c>
      <c r="I115" s="4" t="n">
        <v>434</v>
      </c>
      <c r="J115" s="5" t="n">
        <v>0.5</v>
      </c>
      <c r="K115" s="4" t="n">
        <v>300</v>
      </c>
      <c r="L115" s="4" t="n">
        <v>91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2차선 도로변에 접하고 있어 진출입 용이, 오송 및 세종 접근성 우수</t>
        </is>
      </c>
      <c r="Q115" s="6">
        <f>HYPERLINK("https://fin.land.naver.com/articles/2656411549", "매물Link")</f>
        <v/>
      </c>
      <c r="R115" s="6">
        <f>HYPERLINK("https://map.naver.com/p/search/강내면 태성리 392", "지도Link")</f>
        <v/>
      </c>
      <c r="S115" s="6">
        <f>HYPERLINK("http://www.eum.go.kr/web/ar/lu/luLandDet.jsp?pnu=4311331027103920000&amp;isNoScr=script&amp;mode=search", "토지이음")</f>
        <v/>
      </c>
      <c r="T115" s="3" t="inlineStr">
        <is>
          <t>제이</t>
        </is>
      </c>
      <c r="U115" s="4" t="n">
        <v>2</v>
      </c>
      <c r="V115" s="5" t="n">
        <v>61.1</v>
      </c>
      <c r="W115" s="4" t="n">
        <v>1434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8.87m</t>
        </is>
      </c>
      <c r="AC115" s="3" t="inlineStr">
        <is>
          <t>2021-07</t>
        </is>
      </c>
      <c r="AD115" s="3" t="inlineStr">
        <is>
          <t>소로한면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학천리 225-11</t>
        </is>
      </c>
      <c r="B119" s="3" t="inlineStr">
        <is>
          <t>자연녹지지역</t>
        </is>
      </c>
      <c r="C119" s="3" t="inlineStr">
        <is>
          <t>대</t>
        </is>
      </c>
      <c r="D119" s="3" t="inlineStr">
        <is>
          <t>기타</t>
        </is>
      </c>
      <c r="E119" s="3" t="inlineStr">
        <is>
          <t>매매</t>
        </is>
      </c>
      <c r="F119" s="4" t="n">
        <v>49000</v>
      </c>
      <c r="G119" s="4" t="n">
        <v>0</v>
      </c>
      <c r="H119" s="4" t="n">
        <v>440</v>
      </c>
      <c r="I119" s="4" t="n">
        <v>133</v>
      </c>
      <c r="J119" s="5" t="n">
        <v>368.4</v>
      </c>
      <c r="K119" s="4" t="n">
        <v>256</v>
      </c>
      <c r="L119" s="4" t="n">
        <v>77</v>
      </c>
      <c r="M119" s="5" t="n">
        <v>636.4</v>
      </c>
      <c r="N119" s="3" t="inlineStr">
        <is>
          <t>1</t>
        </is>
      </c>
      <c r="O119" s="3" t="inlineStr">
        <is>
          <t>-</t>
        </is>
      </c>
      <c r="P119" s="3" t="inlineStr">
        <is>
          <t>상가 창고 근린생활시설 IC 가깝고 진출입 용이함</t>
        </is>
      </c>
      <c r="Q119" s="6">
        <f>HYPERLINK("https://fin.land.naver.com/articles/2653611498", "매물Link")</f>
        <v/>
      </c>
      <c r="R119" s="6">
        <f>HYPERLINK("https://map.naver.com/p/search/강내면 학천리 225-11", "지도Link")</f>
        <v/>
      </c>
      <c r="S119" s="6">
        <f>HYPERLINK("http://www.eum.go.kr/web/ar/lu/luLandDet.jsp?pnu=4311331035102250011&amp;isNoScr=script&amp;mode=search", "토지이음")</f>
        <v/>
      </c>
      <c r="T119" s="3" t="inlineStr">
        <is>
          <t>반석</t>
        </is>
      </c>
      <c r="U119" s="4" t="n">
        <v>1</v>
      </c>
      <c r="V119" s="5" t="n">
        <v>86.7</v>
      </c>
      <c r="W119" s="4" t="n">
        <v>440</v>
      </c>
      <c r="X119" s="3" t="inlineStr">
        <is>
          <t>미표기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제1종근생</t>
        </is>
      </c>
      <c r="AB119" s="3" t="inlineStr">
        <is>
          <t>7.8m</t>
        </is>
      </c>
      <c r="AC119" s="3" t="inlineStr">
        <is>
          <t>2013-09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HYPERLINK("https://fin.land.naver.com/articles/2655524924",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HYPERLINK("https://fin.land.naver.com/articles/2655975220",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국곡리 108-2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140</v>
      </c>
      <c r="H134" s="4" t="n">
        <v>1150</v>
      </c>
      <c r="I134" s="4" t="n">
        <v>348</v>
      </c>
      <c r="J134" s="5" t="n">
        <v>0.4</v>
      </c>
      <c r="K134" s="4" t="n">
        <v>343</v>
      </c>
      <c r="L134" s="4" t="n">
        <v>104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nan</t>
        </is>
      </c>
      <c r="Q134" s="6">
        <f>HYPERLINK("https://fin.land.naver.com/articles/2651579171", "매물Link")</f>
        <v/>
      </c>
      <c r="R134" s="6">
        <f>HYPERLINK("https://map.naver.com/p/search/금남면 국곡리 108-2", "지도Link")</f>
        <v/>
      </c>
      <c r="S134" s="6">
        <f>HYPERLINK("http://www.eum.go.kr/web/ar/lu/luLandDet.jsp?pnu=3611034044101080002&amp;isNoScr=script&amp;mode=search", "토지이음")</f>
        <v/>
      </c>
      <c r="T134" s="3" t="inlineStr">
        <is>
          <t>세종몽땅</t>
        </is>
      </c>
      <c r="U134" s="4" t="n">
        <v>1</v>
      </c>
      <c r="V134" s="5" t="n">
        <v>112.6</v>
      </c>
      <c r="W134" s="4" t="n">
        <v>1152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창고시설</t>
        </is>
      </c>
      <c r="AB134" s="3" t="inlineStr">
        <is>
          <t>-</t>
        </is>
      </c>
      <c r="AC134" s="3" t="inlineStr">
        <is>
          <t>1992-08</t>
        </is>
      </c>
      <c r="AD134" s="3" t="inlineStr">
        <is>
          <t>세로한면(불)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호이스트 이용가능한 공장창고 대형차도 문제없어요</t>
        </is>
      </c>
      <c r="Q137" s="6">
        <f>HYPERLINK("https://fin.land.naver.com/articles/2652072758",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탑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영곡리 112-1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2493</v>
      </c>
      <c r="I139" s="4" t="n">
        <v>754</v>
      </c>
      <c r="J139" s="5" t="n">
        <v>0.2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HYPERLINK("https://fin.land.naver.com/articles/2654661035", "매물Link")</f>
        <v/>
      </c>
      <c r="R139" s="6">
        <f>HYPERLINK("https://map.naver.com/p/search/금남면 영곡리 112-1", "지도Link")</f>
        <v/>
      </c>
      <c r="S139" s="6">
        <f>HYPERLINK("http://www.eum.go.kr/web/ar/lu/luLandDet.jsp?pnu=3611034041101120001&amp;isNoScr=script&amp;mode=search",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129</v>
      </c>
      <c r="W139" s="4" t="n">
        <v>2493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6.9m</t>
        </is>
      </c>
      <c r="AC139" s="3" t="inlineStr">
        <is>
          <t>2020-09</t>
        </is>
      </c>
      <c r="AD139" s="3" t="inlineStr">
        <is>
          <t>세로한면(가)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사진0, 제조업 가능한 금남면 영곡리 창고 임대</t>
        </is>
      </c>
      <c r="Q140" s="6">
        <f>HYPERLINK("https://fin.land.naver.com/articles/2651828768",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비전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195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HYPERLINK("https://fin.land.naver.com/articles/2654660836",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영치리 283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150</v>
      </c>
      <c r="H142" s="4" t="n">
        <v>792</v>
      </c>
      <c r="I142" s="4" t="n">
        <v>240</v>
      </c>
      <c r="J142" s="5" t="n">
        <v>0.6</v>
      </c>
      <c r="K142" s="4" t="n">
        <v>474</v>
      </c>
      <c r="L142" s="4" t="n">
        <v>143</v>
      </c>
      <c r="M142" s="5" t="n">
        <v>1</v>
      </c>
      <c r="N142" s="3" t="inlineStr">
        <is>
          <t>3</t>
        </is>
      </c>
      <c r="O142" s="3" t="inlineStr">
        <is>
          <t>-</t>
        </is>
      </c>
      <c r="P142" s="3" t="inlineStr">
        <is>
          <t>진출입 용이한 위치, 3층 임대, 차량 출입가능,화장실 있음.</t>
        </is>
      </c>
      <c r="Q142" s="6">
        <f>HYPERLINK("https://fin.land.naver.com/articles/2652113717", "매물Link")</f>
        <v/>
      </c>
      <c r="R142" s="6">
        <f>HYPERLINK("https://map.naver.com/p/search/금남면 영치리 283", "지도Link")</f>
        <v/>
      </c>
      <c r="S142" s="6">
        <f>HYPERLINK("http://www.eum.go.kr/web/ar/lu/luLandDet.jsp?pnu=3611034028102830000&amp;isNoScr=script&amp;mode=search", "토지이음")</f>
        <v/>
      </c>
      <c r="T142" s="3" t="inlineStr">
        <is>
          <t>골드</t>
        </is>
      </c>
      <c r="U142" s="4" t="n">
        <v>1</v>
      </c>
      <c r="V142" s="5" t="n">
        <v>114</v>
      </c>
      <c r="W142" s="4" t="n">
        <v>792</v>
      </c>
      <c r="X142" s="3" t="inlineStr">
        <is>
          <t>미표기</t>
        </is>
      </c>
      <c r="Y142" s="7" t="inlineStr">
        <is>
          <t>3층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10.35m</t>
        </is>
      </c>
      <c r="AC142" s="3" t="inlineStr">
        <is>
          <t>2017-01</t>
        </is>
      </c>
      <c r="AD142" s="3" t="inlineStr">
        <is>
          <t>세로한면(가)</t>
        </is>
      </c>
    </row>
    <row r="143">
      <c r="A143" s="3" t="inlineStr">
        <is>
          <t>금남면 용담리 193-5</t>
        </is>
      </c>
      <c r="B143" s="3" t="inlineStr">
        <is>
          <t>개발제한구역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100</v>
      </c>
      <c r="H143" s="4" t="n">
        <v>198</v>
      </c>
      <c r="I143" s="4" t="n">
        <v>60</v>
      </c>
      <c r="J143" s="5" t="n">
        <v>1.7</v>
      </c>
      <c r="K143" s="4" t="n">
        <v>99</v>
      </c>
      <c r="L143" s="4" t="n">
        <v>30</v>
      </c>
      <c r="M143" s="5" t="n">
        <v>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남세종 TG까지 4km 떨어진 세종시 금남면 용담리 창고임대</t>
        </is>
      </c>
      <c r="Q143" s="6">
        <f>HYPERLINK("https://fin.land.naver.com/articles/2655612333", "매물Link")</f>
        <v/>
      </c>
      <c r="R143" s="6">
        <f>HYPERLINK("https://map.naver.com/p/search/금남면 용담리 193-5", "지도Link")</f>
        <v/>
      </c>
      <c r="S143" s="6">
        <f>HYPERLINK("http://www.eum.go.kr/web/ar/lu/luLandDet.jsp?pnu=3611034025101930005&amp;isNoScr=script&amp;mode=search",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68.90000000000001</v>
      </c>
      <c r="W143" s="4" t="n">
        <v>198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경량철골구조</t>
        </is>
      </c>
      <c r="AA143" s="3" t="inlineStr">
        <is>
          <t>창고시설</t>
        </is>
      </c>
      <c r="AB143" s="3" t="inlineStr">
        <is>
          <t>7.65m</t>
        </is>
      </c>
      <c r="AC143" s="3" t="inlineStr">
        <is>
          <t>2022-07</t>
        </is>
      </c>
      <c r="AD143" s="3" t="inlineStr">
        <is>
          <t>소로한면</t>
        </is>
      </c>
    </row>
    <row r="144">
      <c r="A144" s="3" t="inlineStr">
        <is>
          <t>금남면 용담리 318-3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5000</v>
      </c>
      <c r="G144" s="4" t="n">
        <v>350</v>
      </c>
      <c r="H144" s="4" t="n">
        <v>877</v>
      </c>
      <c r="I144" s="4" t="n">
        <v>265</v>
      </c>
      <c r="J144" s="5" t="n">
        <v>1.3</v>
      </c>
      <c r="K144" s="4" t="n">
        <v>491</v>
      </c>
      <c r="L144" s="4" t="n">
        <v>149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HYPERLINK("https://fin.land.naver.com/articles/2655683423", "매물Link")</f>
        <v/>
      </c>
      <c r="R144" s="6">
        <f>HYPERLINK("https://map.naver.com/p/search/금남면 용담리 318-3", "지도Link")</f>
        <v/>
      </c>
      <c r="S144" s="6">
        <f>HYPERLINK("http://www.eum.go.kr/web/ar/lu/luLandDet.jsp?pnu=3611034025103180003&amp;isNoScr=script&amp;mode=search", "토지이음")</f>
        <v/>
      </c>
      <c r="T144" s="3" t="inlineStr">
        <is>
          <t>창고의여왕</t>
        </is>
      </c>
      <c r="U144" s="4" t="n">
        <v>1</v>
      </c>
      <c r="V144" s="5" t="n">
        <v>152.8</v>
      </c>
      <c r="W144" s="4" t="n">
        <v>877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7.48m</t>
        </is>
      </c>
      <c r="AC144" s="3" t="inlineStr">
        <is>
          <t>2013-11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HYPERLINK("https://fin.land.naver.com/articles/2651599205",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1851</v>
      </c>
      <c r="I146" s="4" t="n">
        <v>560</v>
      </c>
      <c r="J146" s="5" t="n">
        <v>264.3</v>
      </c>
      <c r="K146" s="4" t="n">
        <v>1123</v>
      </c>
      <c r="L146" s="4" t="n">
        <v>340</v>
      </c>
      <c r="M146" s="5" t="n">
        <v>435.3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HYPERLINK("https://fin.land.naver.com/articles/2655933023",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골든타임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2787</v>
      </c>
      <c r="I148" s="4" t="n">
        <v>843</v>
      </c>
      <c r="J148" s="5" t="n">
        <v>0.4</v>
      </c>
      <c r="K148" s="4" t="n">
        <v>340</v>
      </c>
      <c r="L148" s="4" t="n">
        <v>103</v>
      </c>
      <c r="M148" s="5" t="n">
        <v>2.9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건물103형 대지850형 2종근생제조</t>
        </is>
      </c>
      <c r="Q148" s="6">
        <f>HYPERLINK("https://fin.land.naver.com/articles/2655507948",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2178</v>
      </c>
      <c r="I150" s="4" t="n">
        <v>659</v>
      </c>
      <c r="J150" s="5" t="n">
        <v>0.5</v>
      </c>
      <c r="K150" s="4" t="n">
        <v>338</v>
      </c>
      <c r="L150" s="4" t="n">
        <v>102</v>
      </c>
      <c r="M150" s="5" t="n">
        <v>2.9</v>
      </c>
      <c r="N150" s="3" t="inlineStr">
        <is>
          <t>1</t>
        </is>
      </c>
      <c r="O150" s="3" t="inlineStr">
        <is>
          <t>B1</t>
        </is>
      </c>
      <c r="P150" s="3" t="inlineStr">
        <is>
          <t>남이면 신축102형, 제2종근생, 제조업 창고, 매매 가능, 부지 넓음</t>
        </is>
      </c>
      <c r="Q150" s="6">
        <f>HYPERLINK("https://fin.land.naver.com/articles/2652072234",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라인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1487</v>
      </c>
      <c r="I151" s="4" t="n">
        <v>450</v>
      </c>
      <c r="J151" s="5" t="n">
        <v>0.7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청주시내에서 가까운 전용마당 넓은 신축 창고 임대</t>
        </is>
      </c>
      <c r="Q151" s="6">
        <f>HYPERLINK("https://fin.land.naver.com/articles/2651969565",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190</v>
      </c>
      <c r="L152" s="4" t="n">
        <v>57</v>
      </c>
      <c r="M152" s="5" t="n">
        <v>1.1</v>
      </c>
      <c r="N152" s="3" t="inlineStr">
        <is>
          <t>2</t>
        </is>
      </c>
      <c r="O152" s="3" t="inlineStr">
        <is>
          <t>-</t>
        </is>
      </c>
      <c r="P152" s="3" t="inlineStr">
        <is>
          <t>1층 60형만 임대 창고로 활용</t>
        </is>
      </c>
      <c r="Q152" s="6">
        <f>HYPERLINK("https://fin.land.naver.com/articles/2652958822",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창고또는 조용히 사용할수있는 용도로 사용하기 좋음.</t>
        </is>
      </c>
      <c r="Q153" s="6">
        <f>HYPERLINK("https://fin.land.naver.com/articles/2652446684",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청주해솔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2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창고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3360</v>
      </c>
      <c r="L159" s="4" t="n">
        <v>1016</v>
      </c>
      <c r="M159" s="5" t="n">
        <v>1.2</v>
      </c>
      <c r="N159" s="3" t="inlineStr">
        <is>
          <t>2</t>
        </is>
      </c>
      <c r="O159" s="3" t="inlineStr">
        <is>
          <t>-</t>
        </is>
      </c>
      <c r="P159" s="3" t="inlineStr">
        <is>
          <t>대형 신축급 공장창고 넓은 마당 확보</t>
        </is>
      </c>
      <c r="Q159" s="6">
        <f>HYPERLINK("https://fin.land.naver.com/articles/2654876552",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남청주ic, 강서하이패스ic15분 민원 걱정없는 대형공장이나 물류창고</t>
        </is>
      </c>
      <c r="Q160" s="6">
        <f>HYPERLINK("https://fin.land.naver.com/articles/2651673588",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건물 1층 단독사용, 1층 앞 마당 약 1500형 단독사용, 도크 有</t>
        </is>
      </c>
      <c r="Q161" s="6">
        <f>HYPERLINK("https://fin.land.naver.com/articles/2655925326",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375</v>
      </c>
      <c r="H163" s="4" t="n">
        <v>2851</v>
      </c>
      <c r="I163" s="4" t="n">
        <v>862</v>
      </c>
      <c r="J163" s="5" t="n">
        <v>0.4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넓은 개인 전용마당 확보 신축급 깔끔한 창고임대</t>
        </is>
      </c>
      <c r="Q163" s="6">
        <f>HYPERLINK("https://fin.land.naver.com/articles/2652803675",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태광</t>
        </is>
      </c>
      <c r="U163" s="4" t="n">
        <v>2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3000</v>
      </c>
      <c r="G166" s="4" t="n">
        <v>375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nan</t>
        </is>
      </c>
      <c r="Q166" s="6">
        <f>HYPERLINK("https://fin.land.naver.com/articles/2654840314",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KS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기타</t>
        </is>
      </c>
      <c r="E167" s="3" t="inlineStr">
        <is>
          <t>월세</t>
        </is>
      </c>
      <c r="F167" s="4" t="n">
        <v>3500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남이면 상가창고임대 마당넓고 단독사용 층고높은 귀한매물</t>
        </is>
      </c>
      <c r="Q167" s="6">
        <f>HYPERLINK("https://fin.land.naver.com/articles/2653207257",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대박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232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매매</t>
        </is>
      </c>
      <c r="F172" s="4" t="n">
        <v>93000</v>
      </c>
      <c r="G172" s="4" t="n">
        <v>0</v>
      </c>
      <c r="H172" s="4" t="n">
        <v>1984</v>
      </c>
      <c r="I172" s="4" t="n">
        <v>600</v>
      </c>
      <c r="J172" s="5" t="n">
        <v>155</v>
      </c>
      <c r="K172" s="4" t="n">
        <v>396</v>
      </c>
      <c r="L172" s="4" t="n">
        <v>120</v>
      </c>
      <c r="M172" s="5" t="n">
        <v>775</v>
      </c>
      <c r="N172" s="3" t="inlineStr">
        <is>
          <t>1</t>
        </is>
      </c>
      <c r="O172" s="3" t="inlineStr">
        <is>
          <t>-</t>
        </is>
      </c>
      <c r="P172" s="3" t="inlineStr">
        <is>
          <t>남이초등학교 근처 위치좋음 층고 높음 땅모양 좋음</t>
        </is>
      </c>
      <c r="Q172" s="6">
        <f>HYPERLINK("https://fin.land.naver.com/articles/2651195617", "매물Link")</f>
        <v/>
      </c>
      <c r="R172" s="6">
        <f>HYPERLINK("https://map.naver.com/p/search/남이면 가좌리 232", "지도Link")</f>
        <v/>
      </c>
      <c r="S172" s="6">
        <f>HYPERLINK("http://www.eum.go.kr/web/ar/lu/luLandDet.jsp?pnu=4311231036102320000&amp;isNoScr=script&amp;mode=search", "토지이음")</f>
        <v/>
      </c>
      <c r="T172" s="3" t="inlineStr">
        <is>
          <t>명품 사무소</t>
        </is>
      </c>
      <c r="U172" s="4" t="n">
        <v>1</v>
      </c>
      <c r="V172" s="5" t="n">
        <v>65.40000000000001</v>
      </c>
      <c r="W172" s="4" t="n">
        <v>1984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117-5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117000</v>
      </c>
      <c r="G173" s="4" t="n">
        <v>0</v>
      </c>
      <c r="H173" s="4" t="n">
        <v>2421</v>
      </c>
      <c r="I173" s="4" t="n">
        <v>732</v>
      </c>
      <c r="J173" s="5" t="n">
        <v>159.8</v>
      </c>
      <c r="K173" s="4" t="n">
        <v>467</v>
      </c>
      <c r="L173" s="4" t="n">
        <v>141</v>
      </c>
      <c r="M173" s="5" t="n">
        <v>829.8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단독공장입니다</t>
        </is>
      </c>
      <c r="Q173" s="6">
        <f>HYPERLINK("https://fin.land.naver.com/articles/2655807194", "매물Link")</f>
        <v/>
      </c>
      <c r="R173" s="6">
        <f>HYPERLINK("https://map.naver.com/p/search/남이면 갈원리 117-5", "지도Link")</f>
        <v/>
      </c>
      <c r="S173" s="6">
        <f>HYPERLINK("http://www.eum.go.kr/web/ar/lu/luLandDet.jsp?pnu=4311231029101170005&amp;isNoScr=script&amp;mode=search", "토지이음")</f>
        <v/>
      </c>
      <c r="T173" s="3" t="inlineStr">
        <is>
          <t>복댕이</t>
        </is>
      </c>
      <c r="U173" s="4" t="n">
        <v>2</v>
      </c>
      <c r="V173" s="5" t="n">
        <v>46.7</v>
      </c>
      <c r="W173" s="4" t="n">
        <v>2421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142-2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2200</v>
      </c>
      <c r="G174" s="4" t="n">
        <v>220</v>
      </c>
      <c r="H174" s="4" t="n">
        <v>812</v>
      </c>
      <c r="I174" s="4" t="n">
        <v>246</v>
      </c>
      <c r="J174" s="5" t="n">
        <v>0.9</v>
      </c>
      <c r="K174" s="4" t="n">
        <v>321</v>
      </c>
      <c r="L174" s="4" t="n">
        <v>97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15분 세종청주로 인근으로 세종 , 청주도심 접근성 좋음</t>
        </is>
      </c>
      <c r="Q174" s="6">
        <f>HYPERLINK("https://fin.land.naver.com/articles/2651793645", "매물Link")</f>
        <v/>
      </c>
      <c r="R174" s="6">
        <f>HYPERLINK("https://map.naver.com/p/search/남이면 갈원리 142-2", "지도Link")</f>
        <v/>
      </c>
      <c r="S174" s="6">
        <f>HYPERLINK("http://www.eum.go.kr/web/ar/lu/luLandDet.jsp?pnu=4311231029101420002&amp;isNoScr=script&amp;mode=search",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41.4</v>
      </c>
      <c r="W174" s="4" t="n">
        <v>812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268-4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160000</v>
      </c>
      <c r="G175" s="4" t="n">
        <v>0</v>
      </c>
      <c r="H175" s="4" t="n">
        <v>5395</v>
      </c>
      <c r="I175" s="4" t="n">
        <v>1632</v>
      </c>
      <c r="J175" s="5" t="n">
        <v>98</v>
      </c>
      <c r="K175" s="4" t="n">
        <v>443</v>
      </c>
      <c r="L175" s="4" t="n">
        <v>134</v>
      </c>
      <c r="M175" s="5" t="n">
        <v>1194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세종시와 인접한 위치의 공장으로 주변시세보다 저렴 대형차진출입용이</t>
        </is>
      </c>
      <c r="Q175" s="6">
        <f>HYPERLINK("https://fin.land.naver.com/articles/2652625519", "매물Link")</f>
        <v/>
      </c>
      <c r="R175" s="6">
        <f>HYPERLINK("https://map.naver.com/p/search/남이면 갈원리 268-4", "지도Link")</f>
        <v/>
      </c>
      <c r="S175" s="6">
        <f>HYPERLINK("http://www.eum.go.kr/web/ar/lu/luLandDet.jsp?pnu=4311231029102680004&amp;isNoScr=script&amp;mode=search",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5395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79-4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1800</v>
      </c>
      <c r="G176" s="4" t="n">
        <v>170</v>
      </c>
      <c r="H176" s="4" t="n">
        <v>631</v>
      </c>
      <c r="I176" s="4" t="n">
        <v>191</v>
      </c>
      <c r="J176" s="5" t="n">
        <v>0.9</v>
      </c>
      <c r="K176" s="4" t="n">
        <v>250</v>
      </c>
      <c r="L176" s="4" t="n">
        <v>76</v>
      </c>
      <c r="M176" s="5" t="n">
        <v>2.2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2차선도로변 신축급 2종근생 제조업이나 창고가능 층고 10m</t>
        </is>
      </c>
      <c r="Q176" s="6">
        <f>HYPERLINK("https://fin.land.naver.com/articles/2651793090", "매물Link")</f>
        <v/>
      </c>
      <c r="R176" s="6">
        <f>HYPERLINK("https://map.naver.com/p/search/남이면 갈원리 79-4", "지도Link")</f>
        <v/>
      </c>
      <c r="S176" s="6">
        <f>HYPERLINK("http://www.eum.go.kr/web/ar/lu/luLandDet.jsp?pnu=4311231029100790004&amp;isNoScr=script&amp;mode=search",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48.5</v>
      </c>
      <c r="W176" s="4" t="n">
        <v>631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5200</v>
      </c>
      <c r="G178" s="4" t="n">
        <v>520</v>
      </c>
      <c r="H178" s="4" t="n">
        <v>5147</v>
      </c>
      <c r="I178" s="4" t="n">
        <v>1557</v>
      </c>
      <c r="J178" s="5" t="n">
        <v>0.3</v>
      </c>
      <c r="K178" s="4" t="n">
        <v>745</v>
      </c>
      <c r="L178" s="4" t="n">
        <v>225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공장 임대</t>
        </is>
      </c>
      <c r="Q178" s="6">
        <f>HYPERLINK("https://fin.land.naver.com/articles/2653030443",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월드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2579</v>
      </c>
      <c r="I180" s="4" t="n">
        <v>780</v>
      </c>
      <c r="J180" s="5" t="n">
        <v>0.4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도로 접,민원 소지 없는 위치,호이스트 있음,대형차량 진출입 편함</t>
        </is>
      </c>
      <c r="Q180" s="6">
        <f>HYPERLINK("https://fin.land.naver.com/articles/2653871755",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나는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8-1</t>
        </is>
      </c>
      <c r="B182" s="3" t="inlineStr">
        <is>
          <t>자연녹지지역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180</v>
      </c>
      <c r="H182" s="4" t="n">
        <v>1279</v>
      </c>
      <c r="I182" s="4" t="n">
        <v>387</v>
      </c>
      <c r="J182" s="5" t="n">
        <v>0.5</v>
      </c>
      <c r="K182" s="4" t="n">
        <v>253</v>
      </c>
      <c r="L182" s="4" t="n">
        <v>77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마당넓은 단독공장 호이스트2.8톤 전력20kw</t>
        </is>
      </c>
      <c r="Q182" s="6">
        <f>HYPERLINK("https://fin.land.naver.com/articles/2650873433", "매물Link")</f>
        <v/>
      </c>
      <c r="R182" s="6">
        <f>HYPERLINK("https://map.naver.com/p/search/남이면 갈원리 8-1", "지도Link")</f>
        <v/>
      </c>
      <c r="S182" s="6">
        <f>HYPERLINK("http://www.eum.go.kr/web/ar/lu/luLandDet.jsp?pnu=4311231029100080001&amp;isNoScr=script&amp;mode=search",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44.6</v>
      </c>
      <c r="W182" s="4" t="n">
        <v>1279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600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 가능한 공장입니다</t>
        </is>
      </c>
      <c r="Q184" s="6">
        <f>HYPERLINK("https://fin.land.naver.com/articles/2656256218",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복댕이</t>
        </is>
      </c>
      <c r="U184" s="4" t="n">
        <v>6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150-11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4491</v>
      </c>
      <c r="I186" s="4" t="n">
        <v>1359</v>
      </c>
      <c r="J186" s="5" t="n">
        <v>0.5</v>
      </c>
      <c r="K186" s="4" t="n">
        <v>891</v>
      </c>
      <c r="L186" s="4" t="n">
        <v>270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청주ic, 남청주ic 15분 야드 넓어 야적장 필요한 업체추천</t>
        </is>
      </c>
      <c r="Q186" s="6">
        <f>HYPERLINK("https://fin.land.naver.com/articles/2655671247", "매물Link")</f>
        <v/>
      </c>
      <c r="R186" s="6">
        <f>HYPERLINK("https://map.naver.com/p/search/남이면 구미리 150-11", "지도Link")</f>
        <v/>
      </c>
      <c r="S186" s="6">
        <f>HYPERLINK("http://www.eum.go.kr/web/ar/lu/luLandDet.jsp?pnu=4311231027101500011&amp;isNoScr=script&amp;mode=search",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29.8</v>
      </c>
      <c r="W186" s="4" t="n">
        <v>4491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2314</v>
      </c>
      <c r="I187" s="4" t="n">
        <v>700</v>
      </c>
      <c r="J187" s="5" t="n">
        <v>0.9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전용마당 넓은 깔끔한 창고공장 임대</t>
        </is>
      </c>
      <c r="Q187" s="6">
        <f>HYPERLINK("https://fin.land.naver.com/articles/2652788629",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350000</v>
      </c>
      <c r="G190" s="4" t="n">
        <v>0</v>
      </c>
      <c r="H190" s="4" t="n">
        <v>4997</v>
      </c>
      <c r="I190" s="4" t="n">
        <v>1512</v>
      </c>
      <c r="J190" s="5" t="n">
        <v>231.5</v>
      </c>
      <c r="K190" s="4" t="n">
        <v>1988</v>
      </c>
      <c r="L190" s="4" t="n">
        <v>601</v>
      </c>
      <c r="M190" s="5" t="n">
        <v>582.4</v>
      </c>
      <c r="N190" s="3" t="inlineStr">
        <is>
          <t>1</t>
        </is>
      </c>
      <c r="O190" s="3" t="inlineStr">
        <is>
          <t>-</t>
        </is>
      </c>
      <c r="P190" s="3" t="inlineStr">
        <is>
          <t>산밑 한적한 위치에  공장입니다</t>
        </is>
      </c>
      <c r="Q190" s="6">
        <f>HYPERLINK("https://fin.land.naver.com/articles/2653097944",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복댕이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12분, 물류창고로도 좋은 신축급 공장 임대</t>
        </is>
      </c>
      <c r="Q191" s="6">
        <f>HYPERLINK("https://fin.land.naver.com/articles/2655981121",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청담</t>
        </is>
      </c>
      <c r="U191" s="4" t="n">
        <v>2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2000</v>
      </c>
      <c r="G193" s="4" t="n">
        <v>630</v>
      </c>
      <c r="H193" s="4" t="n">
        <v>4997</v>
      </c>
      <c r="I193" s="4" t="n">
        <v>1512</v>
      </c>
      <c r="J193" s="5" t="n">
        <v>0.4</v>
      </c>
      <c r="K193" s="4" t="n">
        <v>992</v>
      </c>
      <c r="L193" s="4" t="n">
        <v>300</v>
      </c>
      <c r="M193" s="5" t="n">
        <v>2.1</v>
      </c>
      <c r="N193" s="3" t="inlineStr">
        <is>
          <t>1</t>
        </is>
      </c>
      <c r="O193" s="3" t="inlineStr">
        <is>
          <t>-</t>
        </is>
      </c>
      <c r="P193" s="3" t="inlineStr">
        <is>
          <t>한적한 위치에 신축 공장입니다</t>
        </is>
      </c>
      <c r="Q193" s="6">
        <f>HYPERLINK("https://fin.land.naver.com/articles/2656264780",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10분거리 단독 대형 물류창고  도크시설 완비</t>
        </is>
      </c>
      <c r="Q194" s="6">
        <f>HYPERLINK("https://fin.land.naver.com/articles/2655177920",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더원</t>
        </is>
      </c>
      <c r="U194" s="4" t="n">
        <v>2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소음걱정 없는 대형 물류창고 임대 대형차 진출입 용이 도크설치 완료</t>
        </is>
      </c>
      <c r="Q195" s="6">
        <f>HYPERLINK("https://fin.land.naver.com/articles/2655881720",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45034</v>
      </c>
      <c r="I196" s="4" t="n">
        <v>13623</v>
      </c>
      <c r="J196" s="5" t="n">
        <v>0.4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물류창고 임대</t>
        </is>
      </c>
      <c r="Q196" s="6">
        <f>HYPERLINK("https://fin.land.naver.com/articles/2652355624",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231-8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300</v>
      </c>
      <c r="H197" s="4" t="n">
        <v>1417</v>
      </c>
      <c r="I197" s="4" t="n">
        <v>429</v>
      </c>
      <c r="J197" s="5" t="n">
        <v>0.7</v>
      </c>
      <c r="K197" s="4" t="n">
        <v>494</v>
      </c>
      <c r="L197" s="4" t="n">
        <v>149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세종청주로 석곡사거리 인접한 위치의 공장 창고임대 즉시입주가능</t>
        </is>
      </c>
      <c r="Q197" s="6">
        <f>HYPERLINK("https://fin.land.naver.com/articles/2655680455", "매물Link")</f>
        <v/>
      </c>
      <c r="R197" s="6">
        <f>HYPERLINK("https://map.naver.com/p/search/남이면 구미리 231-8", "지도Link")</f>
        <v/>
      </c>
      <c r="S197" s="6">
        <f>HYPERLINK("http://www.eum.go.kr/web/ar/lu/luLandDet.jsp?pnu=4311231027102310008&amp;isNoScr=script&amp;mode=search",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36.4</v>
      </c>
      <c r="W197" s="4" t="n">
        <v>1417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즉시입주가능, 민원소지없는 2종근생제조업, 준식축급공장</t>
        </is>
      </c>
      <c r="Q198" s="6">
        <f>HYPERLINK("https://fin.land.naver.com/articles/2652908776",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계확관리지역 내 제2종근생 제조업소</t>
        </is>
      </c>
      <c r="Q200" s="6">
        <f>HYPERLINK("https://fin.land.naver.com/articles/2655152936",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새로이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186</v>
      </c>
      <c r="L202" s="4" t="n">
        <v>56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건물 56형 현재 공실 2종근생 제조업</t>
        </is>
      </c>
      <c r="Q202" s="6">
        <f>HYPERLINK("https://fin.land.naver.com/articles/2654155033",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위더스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270000</v>
      </c>
      <c r="G203" s="4" t="n">
        <v>0</v>
      </c>
      <c r="H203" s="4" t="n">
        <v>5897</v>
      </c>
      <c r="I203" s="4" t="n">
        <v>1784</v>
      </c>
      <c r="J203" s="5" t="n">
        <v>151.3</v>
      </c>
      <c r="K203" s="4" t="n">
        <v>1920</v>
      </c>
      <c r="L203" s="4" t="n">
        <v>581</v>
      </c>
      <c r="M203" s="5" t="n">
        <v>464.7</v>
      </c>
      <c r="N203" s="3" t="inlineStr">
        <is>
          <t>1</t>
        </is>
      </c>
      <c r="O203" s="3" t="inlineStr">
        <is>
          <t>-</t>
        </is>
      </c>
      <c r="P203" s="3" t="inlineStr">
        <is>
          <t>신축공장 매매,청주 I.C 11분, 남청주 I.C 14분 거리 대형차진출</t>
        </is>
      </c>
      <c r="Q203" s="6">
        <f>HYPERLINK("https://fin.land.naver.com/articles/2655143258",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플러스자이합동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280000</v>
      </c>
      <c r="G204" s="4" t="n">
        <v>0</v>
      </c>
      <c r="H204" s="4" t="n">
        <v>5897</v>
      </c>
      <c r="I204" s="4" t="n">
        <v>1784</v>
      </c>
      <c r="J204" s="5" t="n">
        <v>157</v>
      </c>
      <c r="K204" s="4" t="n">
        <v>1920</v>
      </c>
      <c r="L204" s="4" t="n">
        <v>581</v>
      </c>
      <c r="M204" s="5" t="n">
        <v>481.9</v>
      </c>
      <c r="N204" s="3" t="inlineStr">
        <is>
          <t>1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HYPERLINK("https://fin.land.naver.com/articles/2652007789",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HYPERLINK("https://fin.land.naver.com/articles/2655509889",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7000</v>
      </c>
      <c r="G209" s="4" t="n">
        <v>690</v>
      </c>
      <c r="H209" s="4" t="n">
        <v>4470</v>
      </c>
      <c r="I209" s="4" t="n">
        <v>1352</v>
      </c>
      <c r="J209" s="5" t="n">
        <v>0.5</v>
      </c>
      <c r="K209" s="4" t="n">
        <v>998</v>
      </c>
      <c r="L209" s="4" t="n">
        <v>302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층고높아 물류창고로 적합한 신축공장</t>
        </is>
      </c>
      <c r="Q209" s="6">
        <f>HYPERLINK("https://fin.land.naver.com/articles/2654861003",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창고의여왕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23000</v>
      </c>
      <c r="G212" s="4" t="n">
        <v>2300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사진有 대형창고 임대</t>
        </is>
      </c>
      <c r="Q213" s="6">
        <f>HYPERLINK("https://fin.land.naver.com/articles/2652355457",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4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HYPERLINK("https://fin.land.naver.com/articles/2651587386",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600</v>
      </c>
      <c r="L217" s="4" t="n">
        <v>182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층고가 높아 3단 적재도 충분한 창고</t>
        </is>
      </c>
      <c r="Q217" s="6">
        <f>HYPERLINK("https://fin.land.naver.com/articles/2652900624",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청주공장임대 600제곱미터 보증금4500만원 월450만원 부가세 별도</t>
        </is>
      </c>
      <c r="Q218" s="6">
        <f>HYPERLINK("https://fin.land.naver.com/articles/2656360877",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대박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대형차량 진출입 편리.넉넉한 작업적재 공간</t>
        </is>
      </c>
      <c r="Q219" s="6">
        <f>HYPERLINK("https://fin.land.naver.com/articles/2654718173",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재일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HYPERLINK("https://fin.land.naver.com/articles/2651026028",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2500</v>
      </c>
      <c r="G225" s="4" t="n">
        <v>230</v>
      </c>
      <c r="H225" s="4" t="n">
        <v>1842</v>
      </c>
      <c r="I225" s="4" t="n">
        <v>557</v>
      </c>
      <c r="J225" s="5" t="n">
        <v>0.4</v>
      </c>
      <c r="K225" s="4" t="n">
        <v>494</v>
      </c>
      <c r="L225" s="4" t="n">
        <v>149</v>
      </c>
      <c r="M225" s="5" t="n">
        <v>1.5</v>
      </c>
      <c r="N225" s="3" t="inlineStr">
        <is>
          <t>2</t>
        </is>
      </c>
      <c r="O225" s="3" t="inlineStr">
        <is>
          <t>-</t>
        </is>
      </c>
      <c r="P225" s="3" t="inlineStr">
        <is>
          <t>1층 100형 마당400형</t>
        </is>
      </c>
      <c r="Q225" s="6">
        <f>HYPERLINK("https://fin.land.naver.com/articles/2650897432",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매매</t>
        </is>
      </c>
      <c r="F226" s="4" t="n">
        <v>165000</v>
      </c>
      <c r="G226" s="4" t="n">
        <v>0</v>
      </c>
      <c r="H226" s="4" t="n">
        <v>2139</v>
      </c>
      <c r="I226" s="4" t="n">
        <v>647</v>
      </c>
      <c r="J226" s="5" t="n">
        <v>255</v>
      </c>
      <c r="K226" s="4" t="n">
        <v>494</v>
      </c>
      <c r="L226" s="4" t="n">
        <v>149</v>
      </c>
      <c r="M226" s="5" t="n">
        <v>1107.4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1층 3톤 호이스트, 2층 사무실 큰 대로변에서 바로 진입</t>
        </is>
      </c>
      <c r="Q226" s="6">
        <f>HYPERLINK("https://fin.land.naver.com/articles/2655516752",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인접 광고효과 가시성 최상인 위치  증축가능</t>
        </is>
      </c>
      <c r="Q230" s="6">
        <f>HYPERLINK("https://fin.land.naver.com/articles/2650936981",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인근, 광고효과좋은 공장 매매</t>
        </is>
      </c>
      <c r="Q231" s="6">
        <f>HYPERLINK("https://fin.land.naver.com/articles/2655583154",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금화랜드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1264</v>
      </c>
      <c r="L236" s="4" t="n">
        <v>382</v>
      </c>
      <c r="M236" s="5" t="n">
        <v>785.3</v>
      </c>
      <c r="N236" s="3" t="inlineStr">
        <is>
          <t>2</t>
        </is>
      </c>
      <c r="O236" s="3" t="inlineStr">
        <is>
          <t>-</t>
        </is>
      </c>
      <c r="P236" s="3" t="inlineStr">
        <is>
          <t>즉시 사용가능 남청주 IC 인근, 호이스트 6개 층고 10M 전력300K</t>
        </is>
      </c>
      <c r="Q236" s="6">
        <f>HYPERLINK("https://fin.land.naver.com/articles/2655488975",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대전토지로무소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HYPERLINK("https://fin.land.naver.com/articles/2656291919",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건물55형 대지340형</t>
        </is>
      </c>
      <c r="Q244" s="6">
        <f>HYPERLINK("https://fin.land.naver.com/articles/2655507861",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신축건물로 주차공간 넓음</t>
        </is>
      </c>
      <c r="Q245" s="6">
        <f>HYPERLINK("https://fin.land.naver.com/articles/2653383986",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길마루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도로에 접함, 마당 넓고 단독마당 가능, 컨디션 좋음</t>
        </is>
      </c>
      <c r="Q246" s="6">
        <f>HYPERLINK("https://fin.land.naver.com/articles/2652200633",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제이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마당넓어 차량회차 편리한 소형공장</t>
        </is>
      </c>
      <c r="Q248" s="6">
        <f>HYPERLINK("https://fin.land.naver.com/articles/2654742692",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60형 신축 공장 창고 제2종근생</t>
        </is>
      </c>
      <c r="Q250" s="6">
        <f>HYPERLINK("https://fin.land.naver.com/articles/2651814834",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495</v>
      </c>
      <c r="I251" s="4" t="n">
        <v>150</v>
      </c>
      <c r="J251" s="5" t="n">
        <v>1.1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소형창고공장 임대 진출입편리 깔끔한 내외부</t>
        </is>
      </c>
      <c r="Q251" s="6">
        <f>HYPERLINK("https://fin.land.naver.com/articles/2654143544",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태광</t>
        </is>
      </c>
      <c r="U251" s="4" t="n">
        <v>3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125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2357</v>
      </c>
      <c r="I253" s="4" t="n">
        <v>713</v>
      </c>
      <c r="J253" s="5" t="n">
        <v>0.2</v>
      </c>
      <c r="K253" s="4" t="n">
        <v>198</v>
      </c>
      <c r="L253" s="4" t="n">
        <v>60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건물60형 마당 크게 사용가능 2종근생제조</t>
        </is>
      </c>
      <c r="Q253" s="6">
        <f>HYPERLINK("https://fin.land.naver.com/articles/2652834931", "매물Link")</f>
        <v/>
      </c>
      <c r="R253" s="6">
        <f>HYPERLINK("https://map.naver.com/p/search/남이면 석실리 125", "지도Link")</f>
        <v/>
      </c>
      <c r="S253" s="6">
        <f>HYPERLINK("http://www.eum.go.kr/web/ar/lu/luLandDet.jsp?pnu=4311231033101250000&amp;isNoScr=script&amp;mode=search",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72.40000000000001</v>
      </c>
      <c r="W253" s="4" t="n">
        <v>2357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350</v>
      </c>
      <c r="H254" s="4" t="n">
        <v>935</v>
      </c>
      <c r="I254" s="4" t="n">
        <v>283</v>
      </c>
      <c r="J254" s="5" t="n">
        <v>1.2</v>
      </c>
      <c r="K254" s="4" t="n">
        <v>360</v>
      </c>
      <c r="L254" s="4" t="n">
        <v>109</v>
      </c>
      <c r="M254" s="5" t="n">
        <v>3.2</v>
      </c>
      <c r="N254" s="3" t="inlineStr">
        <is>
          <t>2</t>
        </is>
      </c>
      <c r="O254" s="3" t="inlineStr">
        <is>
          <t>-</t>
        </is>
      </c>
      <c r="P254" s="3" t="inlineStr">
        <is>
          <t>사진有, 주차 편리, 1층 제조업소 및 창고사용, 2층 사무실 용도</t>
        </is>
      </c>
      <c r="Q254" s="6">
        <f>HYPERLINK("https://fin.land.naver.com/articles/2656256719",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HYPERLINK("https://fin.land.naver.com/articles/2652010478",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오너스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120</v>
      </c>
      <c r="H256" s="4" t="n">
        <v>935</v>
      </c>
      <c r="I256" s="4" t="n">
        <v>283</v>
      </c>
      <c r="J256" s="5" t="n">
        <v>0.4</v>
      </c>
      <c r="K256" s="4" t="n">
        <v>360</v>
      </c>
      <c r="L256" s="4" t="n">
        <v>109</v>
      </c>
      <c r="M256" s="5" t="n">
        <v>1.1</v>
      </c>
      <c r="N256" s="3" t="inlineStr">
        <is>
          <t>2</t>
        </is>
      </c>
      <c r="O256" s="3" t="inlineStr">
        <is>
          <t>B2</t>
        </is>
      </c>
      <c r="P256" s="3" t="inlineStr">
        <is>
          <t>대형차량 진출입 용이, 주차 완전 편리,완전 깨끗한 2종근생 제조업소</t>
        </is>
      </c>
      <c r="Q256" s="6">
        <f>HYPERLINK("https://fin.land.naver.com/articles/2653555067",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339-4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250</v>
      </c>
      <c r="H257" s="4" t="n">
        <v>1747</v>
      </c>
      <c r="I257" s="4" t="n">
        <v>528</v>
      </c>
      <c r="J257" s="5" t="n">
        <v>0.5</v>
      </c>
      <c r="K257" s="4" t="n">
        <v>238</v>
      </c>
      <c r="L257" s="4" t="n">
        <v>72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 대로에 접, 청주 도심 접근성과 남이IC 인접성 동시 갖춘입지</t>
        </is>
      </c>
      <c r="Q257" s="6">
        <f>HYPERLINK("https://fin.land.naver.com/articles/2656256003", "매물Link")</f>
        <v/>
      </c>
      <c r="R257" s="6">
        <f>HYPERLINK("https://map.naver.com/p/search/남이면 석실리 339-4", "지도Link")</f>
        <v/>
      </c>
      <c r="S257" s="6">
        <f>HYPERLINK("http://www.eum.go.kr/web/ar/lu/luLandDet.jsp?pnu=4311231033103390004&amp;isNoScr=script&amp;mode=search",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101.7</v>
      </c>
      <c r="W257" s="4" t="n">
        <v>1747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354-4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130000</v>
      </c>
      <c r="G258" s="4" t="n">
        <v>0</v>
      </c>
      <c r="H258" s="4" t="n">
        <v>1283</v>
      </c>
      <c r="I258" s="4" t="n">
        <v>388</v>
      </c>
      <c r="J258" s="5" t="n">
        <v>335.1</v>
      </c>
      <c r="K258" s="4" t="n">
        <v>747</v>
      </c>
      <c r="L258" s="4" t="n">
        <v>226</v>
      </c>
      <c r="M258" s="5" t="n">
        <v>575.2</v>
      </c>
      <c r="N258" s="3" t="inlineStr">
        <is>
          <t>3</t>
        </is>
      </c>
      <c r="O258" s="3" t="inlineStr">
        <is>
          <t>-</t>
        </is>
      </c>
      <c r="P258" s="3" t="inlineStr">
        <is>
          <t>프라임공인 석실리 공장 창고 물류센터사용 도로망좋음 엘리베이터</t>
        </is>
      </c>
      <c r="Q258" s="6">
        <f>HYPERLINK("https://fin.land.naver.com/articles/2651210377", "매물Link")</f>
        <v/>
      </c>
      <c r="R258" s="6">
        <f>HYPERLINK("https://map.naver.com/p/search/남이면 석실리 354-4", "지도Link")</f>
        <v/>
      </c>
      <c r="S258" s="6">
        <f>HYPERLINK("http://www.eum.go.kr/web/ar/lu/luLandDet.jsp?pnu=4311231033103540004&amp;isNoScr=script&amp;mode=search", "토지이음")</f>
        <v/>
      </c>
      <c r="T258" s="3" t="inlineStr">
        <is>
          <t>프라임</t>
        </is>
      </c>
      <c r="U258" s="4" t="n">
        <v>2</v>
      </c>
      <c r="V258" s="5" t="n">
        <v>101.7</v>
      </c>
      <c r="W258" s="4" t="n">
        <v>1283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A특급A 도로변 신축 매물, 주차공간 넉넉하게 단독 사용가능</t>
        </is>
      </c>
      <c r="Q261" s="6">
        <f>HYPERLINK("https://fin.land.naver.com/articles/2656239294",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골든타임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HYPERLINK("https://fin.land.naver.com/articles/2653837384",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HYPERLINK("https://fin.land.naver.com/articles/2655910923",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제이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2000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50형 대지230형</t>
        </is>
      </c>
      <c r="Q265" s="6">
        <f>HYPERLINK("https://fin.land.naver.com/articles/2654155444",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1753</v>
      </c>
      <c r="I266" s="4" t="n">
        <v>530</v>
      </c>
      <c r="J266" s="5" t="n">
        <v>0.4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야적공간 충분한 마당넓은 소형근생창고</t>
        </is>
      </c>
      <c r="Q266" s="6">
        <f>HYPERLINK("https://fin.land.naver.com/articles/2652023570",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175</v>
      </c>
      <c r="H268" s="4" t="n">
        <v>724</v>
      </c>
      <c r="I268" s="4" t="n">
        <v>219</v>
      </c>
      <c r="J268" s="5" t="n">
        <v>0.8</v>
      </c>
      <c r="K268" s="4" t="n">
        <v>165</v>
      </c>
      <c r="L268" s="4" t="n">
        <v>50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석실리 2차선도로 단독소형 신축공장.창고임대 대형차 진출입가능</t>
        </is>
      </c>
      <c r="Q268" s="6">
        <f>HYPERLINK("https://fin.land.naver.com/articles/2655682481",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신축 창고, 2차선 도로 접, 대형차량 진출입 용이, 접근성 좋음</t>
        </is>
      </c>
      <c r="Q269" s="6">
        <f>HYPERLINK("https://fin.land.naver.com/articles/2655799071",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나는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대형 차량 진출입 용이, 단층 60형 2개동 연결된 구조로 120형 사용</t>
        </is>
      </c>
      <c r="Q270" s="6">
        <f>HYPERLINK("https://fin.land.naver.com/articles/2653852370",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석판리 36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200</v>
      </c>
      <c r="H273" s="4" t="n">
        <v>2953</v>
      </c>
      <c r="I273" s="4" t="n">
        <v>893</v>
      </c>
      <c r="J273" s="5" t="n">
        <v>0.2</v>
      </c>
      <c r="K273" s="4" t="n">
        <v>264</v>
      </c>
      <c r="L273" s="4" t="n">
        <v>80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외부사진 有, 석판분기점 인근으로 3순환로 이용 편함, 마당 넓음</t>
        </is>
      </c>
      <c r="Q273" s="6">
        <f>HYPERLINK("https://fin.land.naver.com/articles/2650896451", "매물Link")</f>
        <v/>
      </c>
      <c r="R273" s="6">
        <f>HYPERLINK("https://map.naver.com/p/search/남이면 석판리 36", "지도Link")</f>
        <v/>
      </c>
      <c r="S273" s="6">
        <f>HYPERLINK("http://www.eum.go.kr/web/ar/lu/luLandDet.jsp?pnu=4311231034100360000&amp;isNoScr=script&amp;mode=search",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120.8</v>
      </c>
      <c r="W273" s="4" t="n">
        <v>2813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석판리 36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200</v>
      </c>
      <c r="H274" s="4" t="n">
        <v>2953</v>
      </c>
      <c r="I274" s="4" t="n">
        <v>893</v>
      </c>
      <c r="J274" s="5" t="n">
        <v>0.2</v>
      </c>
      <c r="K274" s="4" t="n">
        <v>264</v>
      </c>
      <c r="L274" s="4" t="n">
        <v>80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건물 80형 공장 창고 건물</t>
        </is>
      </c>
      <c r="Q274" s="6">
        <f>HYPERLINK("https://fin.land.naver.com/articles/2650897401", "매물Link")</f>
        <v/>
      </c>
      <c r="R274" s="6">
        <f>HYPERLINK("https://map.naver.com/p/search/남이면 석판리 36", "지도Link")</f>
        <v/>
      </c>
      <c r="S274" s="6">
        <f>HYPERLINK("http://www.eum.go.kr/web/ar/lu/luLandDet.jsp?pnu=4311231034100360000&amp;isNoScr=script&amp;mode=search",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120.8</v>
      </c>
      <c r="W274" s="4" t="n">
        <v>2813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36-14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190</v>
      </c>
      <c r="H275" s="4" t="n">
        <v>4934</v>
      </c>
      <c r="I275" s="4" t="n">
        <v>1493</v>
      </c>
      <c r="J275" s="5" t="n">
        <v>0.1</v>
      </c>
      <c r="K275" s="4" t="n">
        <v>242</v>
      </c>
      <c r="L275" s="4" t="n">
        <v>73</v>
      </c>
      <c r="M275" s="5" t="n">
        <v>2.6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HYPERLINK("https://fin.land.naver.com/articles/2653028230", "매물Link")</f>
        <v/>
      </c>
      <c r="R275" s="6">
        <f>HYPERLINK("https://map.naver.com/p/search/남이면 석판리 36-14", "지도Link")</f>
        <v/>
      </c>
      <c r="S275" s="6">
        <f>HYPERLINK("http://www.eum.go.kr/web/ar/lu/luLandDet.jsp?pnu=4311231034100360014&amp;isNoScr=script&amp;mode=search",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92.7</v>
      </c>
      <c r="W275" s="4" t="n">
        <v>239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양촌리 271</t>
        </is>
      </c>
      <c r="B276" s="3" t="inlineStr">
        <is>
          <t>자연녹지지역</t>
        </is>
      </c>
      <c r="C276" s="3" t="inlineStr">
        <is>
          <t>창고용지</t>
        </is>
      </c>
      <c r="D276" s="3" t="inlineStr">
        <is>
          <t>창고</t>
        </is>
      </c>
      <c r="E276" s="3" t="inlineStr">
        <is>
          <t>월세</t>
        </is>
      </c>
      <c r="F276" s="4" t="n">
        <v>1000</v>
      </c>
      <c r="G276" s="4" t="n">
        <v>90</v>
      </c>
      <c r="H276" s="4" t="n">
        <v>2190</v>
      </c>
      <c r="I276" s="4" t="n">
        <v>662</v>
      </c>
      <c r="J276" s="5" t="n">
        <v>0.1</v>
      </c>
      <c r="K276" s="4" t="n">
        <v>100</v>
      </c>
      <c r="L276" s="4" t="n">
        <v>30</v>
      </c>
      <c r="M276" s="5" t="n">
        <v>3</v>
      </c>
      <c r="N276" s="3" t="inlineStr">
        <is>
          <t>1</t>
        </is>
      </c>
      <c r="O276" s="3" t="inlineStr">
        <is>
          <t>B1</t>
        </is>
      </c>
      <c r="P276" s="3" t="inlineStr">
        <is>
          <t>양촌리창고임대입주빠름</t>
        </is>
      </c>
      <c r="Q276" s="6">
        <f>HYPERLINK("https://fin.land.naver.com/articles/2653086432", "매물Link")</f>
        <v/>
      </c>
      <c r="R276" s="6">
        <f>HYPERLINK("https://map.naver.com/p/search/남이면 양촌리 271", "지도Link")</f>
        <v/>
      </c>
      <c r="S276" s="6">
        <f>HYPERLINK("http://www.eum.go.kr/web/ar/lu/luLandDet.jsp?pnu=4311231037102710000&amp;isNoScr=script&amp;mode=search", "토지이음")</f>
        <v/>
      </c>
      <c r="T276" s="3" t="inlineStr">
        <is>
          <t>더큰</t>
        </is>
      </c>
      <c r="U276" s="4" t="n">
        <v>1</v>
      </c>
      <c r="V276" s="5" t="n">
        <v>98.7</v>
      </c>
      <c r="W276" s="4" t="n">
        <v>2190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양촌리 435</t>
        </is>
      </c>
      <c r="B277" s="3" t="inlineStr">
        <is>
          <t>자연녹지지역</t>
        </is>
      </c>
      <c r="C277" s="3" t="inlineStr">
        <is>
          <t>도로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200</v>
      </c>
      <c r="H277" s="4" t="n">
        <v>2026</v>
      </c>
      <c r="I277" s="4" t="n">
        <v>613</v>
      </c>
      <c r="J277" s="5" t="n">
        <v>0.3</v>
      </c>
      <c r="K277" s="4" t="n">
        <v>190</v>
      </c>
      <c r="L277" s="4" t="n">
        <v>57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HYPERLINK("https://fin.land.naver.com/articles/2653027917", "매물Link")</f>
        <v/>
      </c>
      <c r="R277" s="6">
        <f>HYPERLINK("https://map.naver.com/p/search/남이면 양촌리 435", "지도Link")</f>
        <v/>
      </c>
      <c r="S277" s="6">
        <f>HYPERLINK("http://www.eum.go.kr/web/ar/lu/luLandDet.jsp?pnu=4311231037104350000&amp;isNoScr=script&amp;mode=search",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16.2</v>
      </c>
      <c r="W277" s="4" t="n">
        <v>2844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남청주IC인근 냉장냉동 시설완비된 물류창고임대 대로변에 접함 진출입용이</t>
        </is>
      </c>
      <c r="Q278" s="6">
        <f>HYPERLINK("https://fin.land.naver.com/articles/2651986329",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127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1256</v>
      </c>
      <c r="I279" s="4" t="n">
        <v>380</v>
      </c>
      <c r="J279" s="5" t="n">
        <v>921.1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nan</t>
        </is>
      </c>
      <c r="Q279" s="6">
        <f>HYPERLINK("https://fin.land.naver.com/articles/2656212988", "매물Link")</f>
        <v/>
      </c>
      <c r="R279" s="6">
        <f>HYPERLINK("https://map.naver.com/p/search/남이면 외천리 127", "지도Link")</f>
        <v/>
      </c>
      <c r="S279" s="6">
        <f>HYPERLINK("http://www.eum.go.kr/web/ar/lu/luLandDet.jsp?pnu=4311231022101270000&amp;isNoScr=script&amp;mode=search", "토지이음")</f>
        <v/>
      </c>
      <c r="T279" s="3" t="inlineStr">
        <is>
          <t>승미</t>
        </is>
      </c>
      <c r="U279" s="4" t="n">
        <v>1</v>
      </c>
      <c r="V279" s="5" t="n">
        <v>102.5</v>
      </c>
      <c r="W279" s="4" t="n">
        <v>1088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350000</v>
      </c>
      <c r="G280" s="4" t="n">
        <v>0</v>
      </c>
      <c r="H280" s="4" t="n">
        <v>4155</v>
      </c>
      <c r="I280" s="4" t="n">
        <v>1257</v>
      </c>
      <c r="J280" s="5" t="n">
        <v>278.4</v>
      </c>
      <c r="K280" s="4" t="n">
        <v>2148</v>
      </c>
      <c r="L280" s="4" t="n">
        <v>650</v>
      </c>
      <c r="M280" s="5" t="n">
        <v>538.5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 5분 공장용도 현 물류창고로 사용중 입주협의</t>
        </is>
      </c>
      <c r="Q280" s="6">
        <f>HYPERLINK("https://fin.land.naver.com/articles/2650949814",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2148</v>
      </c>
      <c r="L281" s="4" t="n">
        <v>650</v>
      </c>
      <c r="M281" s="5" t="n">
        <v>2.6</v>
      </c>
      <c r="N281" s="3" t="inlineStr">
        <is>
          <t>2</t>
        </is>
      </c>
      <c r="O281" s="3" t="inlineStr">
        <is>
          <t>B1</t>
        </is>
      </c>
      <c r="P281" s="3" t="inlineStr">
        <is>
          <t>사진有 저온창고 임대</t>
        </is>
      </c>
      <c r="Q281" s="6">
        <f>HYPERLINK("https://fin.land.naver.com/articles/2653029028",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128-2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4차선 도로접하고 도크시설 완비된 층고 높은공장,  냉동,냉장창고</t>
        </is>
      </c>
      <c r="Q282" s="6">
        <f>HYPERLINK("https://fin.land.naver.com/articles/2653660401", "매물Link")</f>
        <v/>
      </c>
      <c r="R282" s="6">
        <f>HYPERLINK("https://map.naver.com/p/search/남이면 외천리 128-2", "지도Link")</f>
        <v/>
      </c>
      <c r="S282" s="6">
        <f>HYPERLINK("http://www.eum.go.kr/web/ar/lu/luLandDet.jsp?pnu=4311231022101280002&amp;isNoScr=script&amp;mode=search", "토지이음")</f>
        <v/>
      </c>
      <c r="T282" s="3" t="inlineStr">
        <is>
          <t>(주)미르</t>
        </is>
      </c>
      <c r="U282" s="4" t="n">
        <v>2</v>
      </c>
      <c r="V282" s="5" t="n">
        <v>102.5</v>
      </c>
      <c r="W282" s="4" t="n">
        <v>725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128-2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도크시설과 냉동,냉장 설비 갖춘 대형물류창고 임대,대형차량 진출입 편리</t>
        </is>
      </c>
      <c r="Q283" s="6">
        <f>HYPERLINK("https://fin.land.naver.com/articles/2650942641", "매물Link")</f>
        <v/>
      </c>
      <c r="R283" s="6">
        <f>HYPERLINK("https://map.naver.com/p/search/남이면 외천리 128-2", "지도Link")</f>
        <v/>
      </c>
      <c r="S283" s="6">
        <f>HYPERLINK("http://www.eum.go.kr/web/ar/lu/luLandDet.jsp?pnu=4311231022101280002&amp;isNoScr=script&amp;mode=search",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102.5</v>
      </c>
      <c r="W283" s="4" t="n">
        <v>725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129-7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1515</v>
      </c>
      <c r="L284" s="4" t="n">
        <v>458</v>
      </c>
      <c r="M284" s="5" t="n">
        <v>3.8</v>
      </c>
      <c r="N284" s="3" t="inlineStr">
        <is>
          <t>1</t>
        </is>
      </c>
      <c r="O284" s="3" t="inlineStr">
        <is>
          <t>-</t>
        </is>
      </c>
      <c r="P284" s="3" t="inlineStr">
        <is>
          <t>냉동, 냉장 물류 창고, 남청주 IC 인접 대형차 진출 도크 시설</t>
        </is>
      </c>
      <c r="Q284" s="6">
        <f>HYPERLINK("https://fin.land.naver.com/articles/2654893254", "매물Link")</f>
        <v/>
      </c>
      <c r="R284" s="6">
        <f>HYPERLINK("https://map.naver.com/p/search/남이면 외천리 129-7", "지도Link")</f>
        <v/>
      </c>
      <c r="S284" s="6">
        <f>HYPERLINK("http://www.eum.go.kr/web/ar/lu/luLandDet.jsp?pnu=4311231022101290007&amp;isNoScr=script&amp;mode=search", "토지이음")</f>
        <v/>
      </c>
      <c r="T284" s="3" t="inlineStr">
        <is>
          <t>대전토지로무소</t>
        </is>
      </c>
      <c r="U284" s="4" t="n">
        <v>1</v>
      </c>
      <c r="V284" s="5" t="n">
        <v>98.5</v>
      </c>
      <c r="W284" s="4" t="n">
        <v>1453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129-7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냉장 냉동 물류창고 도크시설9개  전기250K 대형차 진출입 좋음</t>
        </is>
      </c>
      <c r="Q285" s="6">
        <f>HYPERLINK("https://fin.land.naver.com/articles/2654894803", "매물Link")</f>
        <v/>
      </c>
      <c r="R285" s="6">
        <f>HYPERLINK("https://map.naver.com/p/search/남이면 외천리 129-7", "지도Link")</f>
        <v/>
      </c>
      <c r="S285" s="6">
        <f>HYPERLINK("http://www.eum.go.kr/web/ar/lu/luLandDet.jsp?pnu=4311231022101290007&amp;isNoScr=script&amp;mode=search", "토지이음")</f>
        <v/>
      </c>
      <c r="T285" s="3" t="inlineStr">
        <is>
          <t>대전토지로무소</t>
        </is>
      </c>
      <c r="U285" s="4" t="n">
        <v>1</v>
      </c>
      <c r="V285" s="5" t="n">
        <v>98.5</v>
      </c>
      <c r="W285" s="4" t="n">
        <v>1453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171-1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공장</t>
        </is>
      </c>
      <c r="E286" s="3" t="inlineStr">
        <is>
          <t>월세</t>
        </is>
      </c>
      <c r="F286" s="4" t="n">
        <v>1000</v>
      </c>
      <c r="G286" s="4" t="n">
        <v>250</v>
      </c>
      <c r="H286" s="4" t="n">
        <v>433</v>
      </c>
      <c r="I286" s="4" t="n">
        <v>131</v>
      </c>
      <c r="J286" s="5" t="n">
        <v>1.9</v>
      </c>
      <c r="K286" s="4" t="n">
        <v>433</v>
      </c>
      <c r="L286" s="4" t="n">
        <v>131</v>
      </c>
      <c r="M286" s="5" t="n">
        <v>1.9</v>
      </c>
      <c r="N286" s="3" t="inlineStr">
        <is>
          <t>2</t>
        </is>
      </c>
      <c r="O286" s="3" t="inlineStr">
        <is>
          <t>-</t>
        </is>
      </c>
      <c r="P286" s="3" t="inlineStr">
        <is>
          <t>가구점  물류창고 최적지  남이면 외천리 상가 월세 매물</t>
        </is>
      </c>
      <c r="Q286" s="6">
        <f>HYPERLINK("https://fin.land.naver.com/articles/2656207487", "매물Link")</f>
        <v/>
      </c>
      <c r="R286" s="6">
        <f>HYPERLINK("https://map.naver.com/p/search/남이면 외천리 171-1", "지도Link")</f>
        <v/>
      </c>
      <c r="S286" s="6">
        <f>HYPERLINK("http://www.eum.go.kr/web/ar/lu/luLandDet.jsp?pnu=4311231022101710001&amp;isNoScr=script&amp;mode=search", "토지이음")</f>
        <v/>
      </c>
      <c r="T286" s="3" t="inlineStr">
        <is>
          <t>엔터</t>
        </is>
      </c>
      <c r="U286" s="4" t="n">
        <v>1</v>
      </c>
      <c r="V286" s="5" t="n">
        <v>122.7</v>
      </c>
      <c r="W286" s="4" t="n">
        <v>836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229-15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85000</v>
      </c>
      <c r="G287" s="4" t="n">
        <v>0</v>
      </c>
      <c r="H287" s="4" t="n">
        <v>890</v>
      </c>
      <c r="I287" s="4" t="n">
        <v>269</v>
      </c>
      <c r="J287" s="5" t="n">
        <v>316</v>
      </c>
      <c r="K287" s="4" t="n">
        <v>409</v>
      </c>
      <c r="L287" s="4" t="n">
        <v>124</v>
      </c>
      <c r="M287" s="5" t="n">
        <v>685.5</v>
      </c>
      <c r="N287" s="3" t="inlineStr">
        <is>
          <t>2</t>
        </is>
      </c>
      <c r="O287" s="3" t="inlineStr">
        <is>
          <t>-</t>
        </is>
      </c>
      <c r="P287" s="3" t="inlineStr">
        <is>
          <t>공장 및 주택 매매, 2종근생 제조업</t>
        </is>
      </c>
      <c r="Q287" s="6">
        <f>HYPERLINK("https://fin.land.naver.com/articles/2654991665", "매물Link")</f>
        <v/>
      </c>
      <c r="R287" s="6">
        <f>HYPERLINK("https://map.naver.com/p/search/남이면 외천리 229-15", "지도Link")</f>
        <v/>
      </c>
      <c r="S287" s="6">
        <f>HYPERLINK("http://www.eum.go.kr/web/ar/lu/luLandDet.jsp?pnu=4311231022102290015&amp;isNoScr=script&amp;mode=search", "토지이음")</f>
        <v/>
      </c>
      <c r="T287" s="3" t="inlineStr">
        <is>
          <t>산남태강</t>
        </is>
      </c>
      <c r="U287" s="4" t="n">
        <v>1</v>
      </c>
      <c r="V287" s="5" t="n">
        <v>66.8</v>
      </c>
      <c r="W287" s="4" t="n">
        <v>890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세로각지(가)</t>
        </is>
      </c>
    </row>
    <row r="288">
      <c r="A288" s="3" t="inlineStr">
        <is>
          <t>남이면 외천리 249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350</v>
      </c>
      <c r="H288" s="4" t="n">
        <v>1891</v>
      </c>
      <c r="I288" s="4" t="n">
        <v>572</v>
      </c>
      <c r="J288" s="5" t="n">
        <v>0.6</v>
      </c>
      <c r="K288" s="4" t="n">
        <v>750</v>
      </c>
      <c r="L288" s="4" t="n">
        <v>227</v>
      </c>
      <c r="M288" s="5" t="n">
        <v>1.5</v>
      </c>
      <c r="N288" s="3" t="inlineStr">
        <is>
          <t>1</t>
        </is>
      </c>
      <c r="O288" s="3" t="inlineStr">
        <is>
          <t>-</t>
        </is>
      </c>
      <c r="P288" s="3" t="inlineStr">
        <is>
          <t>가동 150형 나동 78형 일괄임대 대지 580형</t>
        </is>
      </c>
      <c r="Q288" s="6">
        <f>HYPERLINK("https://fin.land.naver.com/articles/2652949824", "매물Link")</f>
        <v/>
      </c>
      <c r="R288" s="6">
        <f>HYPERLINK("https://map.naver.com/p/search/남이면 외천리 249", "지도Link")</f>
        <v/>
      </c>
      <c r="S288" s="6">
        <f>HYPERLINK("http://www.eum.go.kr/web/ar/lu/luLandDet.jsp?pnu=4311231022102490000&amp;isNoScr=script&amp;mode=search",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60.7</v>
      </c>
      <c r="W288" s="4" t="n">
        <v>1879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258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창고</t>
        </is>
      </c>
      <c r="E289" s="3" t="inlineStr">
        <is>
          <t>매매</t>
        </is>
      </c>
      <c r="F289" s="4" t="n">
        <v>40000</v>
      </c>
      <c r="G289" s="4" t="n">
        <v>0</v>
      </c>
      <c r="H289" s="4" t="n">
        <v>652</v>
      </c>
      <c r="I289" s="4" t="n">
        <v>197</v>
      </c>
      <c r="J289" s="5" t="n">
        <v>203</v>
      </c>
      <c r="K289" s="4" t="n">
        <v>356</v>
      </c>
      <c r="L289" s="4" t="n">
        <v>108</v>
      </c>
      <c r="M289" s="5" t="n">
        <v>370.4</v>
      </c>
      <c r="N289" s="3" t="inlineStr">
        <is>
          <t>2</t>
        </is>
      </c>
      <c r="O289" s="3" t="inlineStr">
        <is>
          <t>-</t>
        </is>
      </c>
      <c r="P289" s="3" t="inlineStr">
        <is>
          <t>nan</t>
        </is>
      </c>
      <c r="Q289" s="6">
        <f>HYPERLINK("https://fin.land.naver.com/articles/2655416613", "매물Link")</f>
        <v/>
      </c>
      <c r="R289" s="6">
        <f>HYPERLINK("https://map.naver.com/p/search/남이면 외천리 258", "지도Link")</f>
        <v/>
      </c>
      <c r="S289" s="6">
        <f>HYPERLINK("http://www.eum.go.kr/web/ar/lu/luLandDet.jsp?pnu=4311231022102580000&amp;isNoScr=script&amp;mode=search", "토지이음")</f>
        <v/>
      </c>
      <c r="T289" s="3" t="inlineStr">
        <is>
          <t>청주합동</t>
        </is>
      </c>
      <c r="U289" s="4" t="n">
        <v>1</v>
      </c>
      <c r="V289" s="5" t="n">
        <v>64.59999999999999</v>
      </c>
      <c r="W289" s="4" t="n">
        <v>698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320000</v>
      </c>
      <c r="G290" s="4" t="n">
        <v>0</v>
      </c>
      <c r="H290" s="4" t="n">
        <v>2081</v>
      </c>
      <c r="I290" s="4" t="n">
        <v>630</v>
      </c>
      <c r="J290" s="5" t="n">
        <v>507.9</v>
      </c>
      <c r="K290" s="4" t="n">
        <v>1489</v>
      </c>
      <c r="L290" s="4" t="n">
        <v>450</v>
      </c>
      <c r="M290" s="5" t="n">
        <v>711.1</v>
      </c>
      <c r="N290" s="3" t="inlineStr">
        <is>
          <t>3</t>
        </is>
      </c>
      <c r="O290" s="3" t="inlineStr">
        <is>
          <t>-</t>
        </is>
      </c>
      <c r="P290" s="3" t="inlineStr">
        <is>
          <t>남청주ic 5분거리이며 대로변 접근성 좋은 사옥형 공장으로  최적</t>
        </is>
      </c>
      <c r="Q290" s="6">
        <f>HYPERLINK("https://fin.land.naver.com/articles/2652625202", "매물Link")</f>
        <v/>
      </c>
      <c r="R290" s="6">
        <f>HYPERLINK("https://map.naver.com/p/search/남이면 외천리 264-4", "지도Link")</f>
        <v/>
      </c>
      <c r="S290" s="6">
        <f>HYPERLINK("http://www.eum.go.kr/web/ar/lu/luLandDet.jsp?pnu=4311231022102640004&amp;isNoScr=script&amp;mode=search",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62.1</v>
      </c>
      <c r="W290" s="4" t="n">
        <v>1954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 인근으로 진출입이 원할한곳,급매로 저렴,깨끗한 공장</t>
        </is>
      </c>
      <c r="Q291" s="6">
        <f>HYPERLINK("https://fin.land.naver.com/articles/2653676617",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금화랜드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남청주IC와 가까워 진출입이 용이하며, 1층 공장,연구실 3층 사무실</t>
        </is>
      </c>
      <c r="Q292" s="6">
        <f>HYPERLINK("https://fin.land.naver.com/articles/2654986030",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100000</v>
      </c>
      <c r="G293" s="4" t="n">
        <v>0</v>
      </c>
      <c r="H293" s="4" t="n">
        <v>1358</v>
      </c>
      <c r="I293" s="4" t="n">
        <v>411</v>
      </c>
      <c r="J293" s="5" t="n">
        <v>243.3</v>
      </c>
      <c r="K293" s="4" t="n">
        <v>537</v>
      </c>
      <c r="L293" s="4" t="n">
        <v>162</v>
      </c>
      <c r="M293" s="5" t="n">
        <v>617.3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접근성 좋은 위치 공장 기숙사 전력200kw 호이스트설치</t>
        </is>
      </c>
      <c r="Q293" s="6">
        <f>HYPERLINK("https://fin.land.naver.com/articles/2652625373", "매물Link")</f>
        <v/>
      </c>
      <c r="R293" s="6">
        <f>HYPERLINK("https://map.naver.com/p/search/남이면 외천리 264-5", "지도Link")</f>
        <v/>
      </c>
      <c r="S293" s="6">
        <f>HYPERLINK("http://www.eum.go.kr/web/ar/lu/luLandDet.jsp?pnu=4311231022102640005&amp;isNoScr=script&amp;mode=search",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1358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355-2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15000</v>
      </c>
      <c r="G296" s="4" t="n">
        <v>1750</v>
      </c>
      <c r="H296" s="4" t="n">
        <v>10680</v>
      </c>
      <c r="I296" s="4" t="n">
        <v>3231</v>
      </c>
      <c r="J296" s="5" t="n">
        <v>0.5</v>
      </c>
      <c r="K296" s="4" t="n">
        <v>4244</v>
      </c>
      <c r="L296" s="4" t="n">
        <v>1284</v>
      </c>
      <c r="M296" s="5" t="n">
        <v>1.4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8분거리로 타지역으로 물류이동시최적 호이스트 설치</t>
        </is>
      </c>
      <c r="Q296" s="6">
        <f>HYPERLINK("https://fin.land.naver.com/articles/2654176997", "매물Link")</f>
        <v/>
      </c>
      <c r="R296" s="6">
        <f>HYPERLINK("https://map.naver.com/p/search/남이면 외천리 355-2", "지도Link")</f>
        <v/>
      </c>
      <c r="S296" s="6">
        <f>HYPERLINK("http://www.eum.go.kr/web/ar/lu/luLandDet.jsp?pnu=4311231022103550002&amp;isNoScr=script&amp;mode=search",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58</v>
      </c>
      <c r="W296" s="4" t="n">
        <v>10680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 IC가 가까워 대형차 진출입이 편리한곳으로 물류창고로 추천</t>
        </is>
      </c>
      <c r="Q297" s="6">
        <f>HYPERLINK("https://fin.land.naver.com/articles/2654296445",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10000</v>
      </c>
      <c r="G298" s="4" t="n">
        <v>1000</v>
      </c>
      <c r="H298" s="4" t="n">
        <v>5967</v>
      </c>
      <c r="I298" s="4" t="n">
        <v>1805</v>
      </c>
      <c r="J298" s="5" t="n">
        <v>0.6</v>
      </c>
      <c r="K298" s="4" t="n">
        <v>1541</v>
      </c>
      <c r="L298" s="4" t="n">
        <v>466</v>
      </c>
      <c r="M298" s="5" t="n">
        <v>2.1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남청주IC에서 5분거리 신축공장</t>
        </is>
      </c>
      <c r="Q298" s="6">
        <f>HYPERLINK("https://fin.land.naver.com/articles/2651889673",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창고의여왕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</t>
        </is>
      </c>
      <c r="Q299" s="6">
        <f>HYPERLINK("https://fin.land.naver.com/articles/2651773919",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500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남청주IC인근 신축대형창고공장 임대 층고높음</t>
        </is>
      </c>
      <c r="Q301" s="6">
        <f>HYPERLINK("https://fin.land.naver.com/articles/2651974388",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12000</v>
      </c>
      <c r="G302" s="4" t="n">
        <v>1200</v>
      </c>
      <c r="H302" s="4" t="n">
        <v>6600</v>
      </c>
      <c r="I302" s="4" t="n">
        <v>1996</v>
      </c>
      <c r="J302" s="5" t="n">
        <v>0.6</v>
      </c>
      <c r="K302" s="4" t="n">
        <v>1451</v>
      </c>
      <c r="L302" s="4" t="n">
        <v>439</v>
      </c>
      <c r="M302" s="5" t="n">
        <v>2.7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HYPERLINK("https://fin.land.naver.com/articles/2653029386",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10000</v>
      </c>
      <c r="G303" s="4" t="n">
        <v>1000</v>
      </c>
      <c r="H303" s="4" t="n">
        <v>6600</v>
      </c>
      <c r="I303" s="4" t="n">
        <v>1996</v>
      </c>
      <c r="J303" s="5" t="n">
        <v>0.5</v>
      </c>
      <c r="K303" s="4" t="n">
        <v>1454</v>
      </c>
      <c r="L303" s="4" t="n">
        <v>440</v>
      </c>
      <c r="M303" s="5" t="n">
        <v>2.3</v>
      </c>
      <c r="N303" s="3" t="inlineStr">
        <is>
          <t>1</t>
        </is>
      </c>
      <c r="O303" s="3" t="inlineStr">
        <is>
          <t>B1</t>
        </is>
      </c>
      <c r="P303" s="3" t="inlineStr">
        <is>
          <t>사진O 남청주 IC 인근 신축 깨끗한 공장 창고 분할임대 가능</t>
        </is>
      </c>
      <c r="Q303" s="6">
        <f>HYPERLINK("https://fin.land.naver.com/articles/2651775083",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미래n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5500</v>
      </c>
      <c r="G304" s="4" t="n">
        <v>550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2.5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신축 첫입주, 남청주IC 및 청남가구단지 인근</t>
        </is>
      </c>
      <c r="Q304" s="6">
        <f>HYPERLINK("https://fin.land.naver.com/articles/2655925210",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379-5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5500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근접 공장 물류전문 창고로 추천드립니다</t>
        </is>
      </c>
      <c r="Q305" s="6">
        <f>HYPERLINK("https://fin.land.naver.com/articles/2651777434", "매물Link")</f>
        <v/>
      </c>
      <c r="R305" s="6">
        <f>HYPERLINK("https://map.naver.com/p/search/남이면 외천리 379-5", "지도Link")</f>
        <v/>
      </c>
      <c r="S305" s="6">
        <f>HYPERLINK("http://www.eum.go.kr/web/ar/lu/luLandDet.jsp?pnu=4311231022103790005&amp;isNoScr=script&amp;mode=search", "토지이음")</f>
        <v/>
      </c>
      <c r="T305" s="3" t="inlineStr">
        <is>
          <t>대박</t>
        </is>
      </c>
      <c r="U305" s="4" t="n">
        <v>1</v>
      </c>
      <c r="V305" s="5" t="n">
        <v>58</v>
      </c>
      <c r="W305" s="4" t="n">
        <v>1906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393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4000</v>
      </c>
      <c r="G306" s="4" t="n">
        <v>400</v>
      </c>
      <c r="H306" s="4" t="n">
        <v>2198</v>
      </c>
      <c r="I306" s="4" t="n">
        <v>665</v>
      </c>
      <c r="J306" s="5" t="n">
        <v>0.6</v>
      </c>
      <c r="K306" s="4" t="n">
        <v>987</v>
      </c>
      <c r="L306" s="4" t="n">
        <v>299</v>
      </c>
      <c r="M306" s="5" t="n">
        <v>1.3</v>
      </c>
      <c r="N306" s="3" t="inlineStr">
        <is>
          <t>2</t>
        </is>
      </c>
      <c r="O306" s="3" t="inlineStr">
        <is>
          <t>-</t>
        </is>
      </c>
      <c r="P306" s="3" t="inlineStr">
        <is>
          <t>사진有 창고 임대</t>
        </is>
      </c>
      <c r="Q306" s="6">
        <f>HYPERLINK("https://fin.land.naver.com/articles/2653026797", "매물Link")</f>
        <v/>
      </c>
      <c r="R306" s="6">
        <f>HYPERLINK("https://map.naver.com/p/search/남이면 외천리 393", "지도Link")</f>
        <v/>
      </c>
      <c r="S306" s="6">
        <f>HYPERLINK("http://www.eum.go.kr/web/ar/lu/luLandDet.jsp?pnu=4311231022103930000&amp;isNoScr=script&amp;mode=search",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35</v>
      </c>
      <c r="W306" s="4" t="n">
        <v>2198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423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340000</v>
      </c>
      <c r="G307" s="4" t="n">
        <v>0</v>
      </c>
      <c r="H307" s="4" t="n">
        <v>3723</v>
      </c>
      <c r="I307" s="4" t="n">
        <v>1126</v>
      </c>
      <c r="J307" s="5" t="n">
        <v>302</v>
      </c>
      <c r="K307" s="4" t="n">
        <v>498</v>
      </c>
      <c r="L307" s="4" t="n">
        <v>151</v>
      </c>
      <c r="M307" s="5" t="n">
        <v>2251.7</v>
      </c>
      <c r="N307" s="3" t="inlineStr">
        <is>
          <t>1</t>
        </is>
      </c>
      <c r="O307" s="3" t="inlineStr">
        <is>
          <t>B2</t>
        </is>
      </c>
      <c r="P307" s="3" t="inlineStr">
        <is>
          <t>남청주 IC인근에 위치  2차선 도로 근접</t>
        </is>
      </c>
      <c r="Q307" s="6">
        <f>HYPERLINK("https://fin.land.naver.com/articles/2656314083", "매물Link")</f>
        <v/>
      </c>
      <c r="R307" s="6">
        <f>HYPERLINK("https://map.naver.com/p/search/남이면 외천리 423", "지도Link")</f>
        <v/>
      </c>
      <c r="S307" s="6">
        <f>HYPERLINK("http://www.eum.go.kr/web/ar/lu/luLandDet.jsp?pnu=4311231022104230000&amp;isNoScr=script&amp;mode=search", "토지이음")</f>
        <v/>
      </c>
      <c r="T307" s="3" t="inlineStr">
        <is>
          <t>트리풀신화</t>
        </is>
      </c>
      <c r="U307" s="4" t="n">
        <v>1</v>
      </c>
      <c r="V307" s="5" t="n">
        <v>69.09999999999999</v>
      </c>
      <c r="W307" s="4" t="n">
        <v>3723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577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150</v>
      </c>
      <c r="H309" s="4" t="n">
        <v>1682</v>
      </c>
      <c r="I309" s="4" t="n">
        <v>509</v>
      </c>
      <c r="J309" s="5" t="n">
        <v>0.3</v>
      </c>
      <c r="K309" s="4" t="n">
        <v>240</v>
      </c>
      <c r="L309" s="4" t="n">
        <v>73</v>
      </c>
      <c r="M309" s="5" t="n">
        <v>2.1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 창고 임대</t>
        </is>
      </c>
      <c r="Q309" s="6">
        <f>HYPERLINK("https://fin.land.naver.com/articles/2653026538", "매물Link")</f>
        <v/>
      </c>
      <c r="R309" s="6">
        <f>HYPERLINK("https://map.naver.com/p/search/남이면 외천리 577", "지도Link")</f>
        <v/>
      </c>
      <c r="S309" s="6">
        <f>HYPERLINK("http://www.eum.go.kr/web/ar/lu/luLandDet.jsp?pnu=4311231022105770000&amp;isNoScr=script&amp;mode=search", "토지이음")</f>
        <v/>
      </c>
      <c r="T309" s="3" t="inlineStr">
        <is>
          <t>월드</t>
        </is>
      </c>
      <c r="U309" s="4" t="n">
        <v>1</v>
      </c>
      <c r="V309" s="5" t="n">
        <v>66.09999999999999</v>
      </c>
      <c r="W309" s="4" t="n">
        <v>1260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94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300000</v>
      </c>
      <c r="G310" s="4" t="n">
        <v>0</v>
      </c>
      <c r="H310" s="4" t="n">
        <v>5120</v>
      </c>
      <c r="I310" s="4" t="n">
        <v>1549</v>
      </c>
      <c r="J310" s="5" t="n">
        <v>193.7</v>
      </c>
      <c r="K310" s="4" t="n">
        <v>2124</v>
      </c>
      <c r="L310" s="4" t="n">
        <v>643</v>
      </c>
      <c r="M310" s="5" t="n">
        <v>466.6</v>
      </c>
      <c r="N310" s="3" t="inlineStr">
        <is>
          <t>2</t>
        </is>
      </c>
      <c r="O310" s="3" t="inlineStr">
        <is>
          <t>-</t>
        </is>
      </c>
      <c r="P310" s="3" t="inlineStr">
        <is>
          <t>남청주ic 5분거리 신탄진 대전등 접근성 좋고 전력300kw 호이스트설치</t>
        </is>
      </c>
      <c r="Q310" s="6">
        <f>HYPERLINK("https://fin.land.naver.com/articles/2654178695", "매물Link")</f>
        <v/>
      </c>
      <c r="R310" s="6">
        <f>HYPERLINK("https://map.naver.com/p/search/남이면 외천리 94", "지도Link")</f>
        <v/>
      </c>
      <c r="S310" s="6">
        <f>HYPERLINK("http://www.eum.go.kr/web/ar/lu/luLandDet.jsp?pnu=4311231022100940000&amp;isNoScr=script&amp;mode=search",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63.4</v>
      </c>
      <c r="W310" s="4" t="n">
        <v>5120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척북리 35-6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120</v>
      </c>
      <c r="H312" s="4" t="n">
        <v>1587</v>
      </c>
      <c r="I312" s="4" t="n">
        <v>480</v>
      </c>
      <c r="J312" s="5" t="n">
        <v>0.2</v>
      </c>
      <c r="K312" s="4" t="n">
        <v>133</v>
      </c>
      <c r="L312" s="4" t="n">
        <v>40</v>
      </c>
      <c r="M312" s="5" t="n">
        <v>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2차선 도로접, 차량 진출입 용이 마당 넓음</t>
        </is>
      </c>
      <c r="Q312" s="6">
        <f>HYPERLINK("https://fin.land.naver.com/articles/2654705701", "매물Link")</f>
        <v/>
      </c>
      <c r="R312" s="6">
        <f>HYPERLINK("https://map.naver.com/p/search/남이면 척북리 35-6", "지도Link")</f>
        <v/>
      </c>
      <c r="S312" s="6">
        <f>HYPERLINK("http://www.eum.go.kr/web/ar/lu/luLandDet.jsp?pnu=4311231024100350006&amp;isNoScr=script&amp;mode=search",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60.8</v>
      </c>
      <c r="W312" s="4" t="n">
        <v>1587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220</v>
      </c>
      <c r="H313" s="4" t="n">
        <v>1587</v>
      </c>
      <c r="I313" s="4" t="n">
        <v>480</v>
      </c>
      <c r="J313" s="5" t="n">
        <v>0.5</v>
      </c>
      <c r="K313" s="4" t="n">
        <v>277</v>
      </c>
      <c r="L313" s="4" t="n">
        <v>84</v>
      </c>
      <c r="M313" s="5" t="n">
        <v>2.6</v>
      </c>
      <c r="N313" s="3" t="inlineStr">
        <is>
          <t>1</t>
        </is>
      </c>
      <c r="O313" s="3" t="inlineStr">
        <is>
          <t>-</t>
        </is>
      </c>
      <c r="P313" s="3" t="inlineStr">
        <is>
          <t>건물80형 대지큼 주차편함 소매점 창고 모두가능</t>
        </is>
      </c>
      <c r="Q313" s="6">
        <f>HYPERLINK("https://fin.land.naver.com/articles/2654732607",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HYPERLINK("https://fin.land.naver.com/articles/2655684329",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4900</v>
      </c>
      <c r="G315" s="4" t="n">
        <v>490</v>
      </c>
      <c r="H315" s="4" t="n">
        <v>1777</v>
      </c>
      <c r="I315" s="4" t="n">
        <v>538</v>
      </c>
      <c r="J315" s="5" t="n">
        <v>0.9</v>
      </c>
      <c r="K315" s="4" t="n">
        <v>704</v>
      </c>
      <c r="L315" s="4" t="n">
        <v>213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 척북삼거리 인근 2차선대로변에서 바로 진입가능</t>
        </is>
      </c>
      <c r="Q315" s="6">
        <f>HYPERLINK("https://fin.land.naver.com/articles/2655783622", "매물Link")</f>
        <v/>
      </c>
      <c r="R315" s="6">
        <f>HYPERLINK("https://map.naver.com/p/search/남이면 척북리 75", "지도Link")</f>
        <v/>
      </c>
      <c r="S315" s="6">
        <f>HYPERLINK("http://www.eum.go.kr/web/ar/lu/luLandDet.jsp?pnu=4311231024100750000&amp;isNoScr=script&amp;mode=search",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54</v>
      </c>
      <c r="W315" s="4" t="n">
        <v>1777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HYPERLINK("https://fin.land.naver.com/articles/2656350968",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1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9분, 2차선도로변, 마당넓은 물류창고 가능한 공장 임대</t>
        </is>
      </c>
      <c r="Q317" s="6">
        <f>HYPERLINK("https://fin.land.naver.com/articles/2655967074",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청담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6870</v>
      </c>
      <c r="G318" s="4" t="n">
        <v>687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청주창고임대  남청주IC 인근 마당 넓은 저렴한 대형 공장창고</t>
        </is>
      </c>
      <c r="Q318" s="6">
        <f>HYPERLINK("https://fin.land.naver.com/articles/2656336358",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KS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인접한 두개 동 모두 임대조건 넓은 개인전용마당 확보 진출입 매우 용이</t>
        </is>
      </c>
      <c r="Q319" s="6">
        <f>HYPERLINK("https://fin.land.naver.com/articles/2656350253",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6800</v>
      </c>
      <c r="G320" s="4" t="n">
        <v>680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진출입 매우 편리한 창고공장 임대 더 넓은 면적 가능 상세정보 확인요망</t>
        </is>
      </c>
      <c r="Q320" s="6">
        <f>HYPERLINK("https://fin.land.naver.com/articles/2656352194",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7000</v>
      </c>
      <c r="G321" s="4" t="n">
        <v>680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9분 청주도심권 2차선도로 접 식품업종 가능</t>
        </is>
      </c>
      <c r="Q321" s="6">
        <f>HYPERLINK("https://fin.land.naver.com/articles/2651673647",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더원</t>
        </is>
      </c>
      <c r="U321" s="4" t="n">
        <v>3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제조 공장 부지.협의가능.</t>
        </is>
      </c>
      <c r="Q323" s="6">
        <f>HYPERLINK("https://fin.land.naver.com/articles/2652910166",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호반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113-3</t>
        </is>
      </c>
      <c r="B324" s="3" t="inlineStr">
        <is>
          <t>생산관리지역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78000</v>
      </c>
      <c r="G324" s="4" t="n">
        <v>0</v>
      </c>
      <c r="H324" s="4" t="n">
        <v>2494</v>
      </c>
      <c r="I324" s="4" t="n">
        <v>754</v>
      </c>
      <c r="J324" s="5" t="n">
        <v>103.4</v>
      </c>
      <c r="K324" s="4" t="n">
        <v>475</v>
      </c>
      <c r="L324" s="4" t="n">
        <v>144</v>
      </c>
      <c r="M324" s="5" t="n">
        <v>541.7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10분거리이며 민가없어 소음업종가능</t>
        </is>
      </c>
      <c r="Q324" s="6">
        <f>HYPERLINK("https://fin.land.naver.com/articles/2652964886", "매물Link")</f>
        <v/>
      </c>
      <c r="R324" s="6">
        <f>HYPERLINK("https://map.naver.com/p/search/남이면 척산리 113-3", "지도Link")</f>
        <v/>
      </c>
      <c r="S324" s="6">
        <f>HYPERLINK("http://www.eum.go.kr/web/ar/lu/luLandDet.jsp?pnu=4311231021101130003&amp;isNoScr=script&amp;mode=search",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47.6</v>
      </c>
      <c r="W324" s="4" t="n">
        <v>2494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 척산리 준 신축 창고 입니다 1동2동 둘다 사용가능</t>
        </is>
      </c>
      <c r="Q326" s="6">
        <f>HYPERLINK("https://fin.land.naver.com/articles/2654713412",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청주대장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건물 55형 대지 200형 사용</t>
        </is>
      </c>
      <c r="Q327" s="6">
        <f>HYPERLINK("https://fin.land.naver.com/articles/2655779930",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위더스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척산삼거리 인근, 도로변, 55형, 창고, 2개동사용가능, 넓은 마당</t>
        </is>
      </c>
      <c r="Q328" s="6">
        <f>HYPERLINK("https://fin.land.naver.com/articles/2656042964",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라인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1055</v>
      </c>
      <c r="I329" s="4" t="n">
        <v>319</v>
      </c>
      <c r="J329" s="5" t="n">
        <v>0.4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nan</t>
        </is>
      </c>
      <c r="Q329" s="6">
        <f>HYPERLINK("https://fin.land.naver.com/articles/2653266534",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청주원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136-1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3000</v>
      </c>
      <c r="G330" s="4" t="n">
        <v>250</v>
      </c>
      <c r="H330" s="4" t="n">
        <v>2121</v>
      </c>
      <c r="I330" s="4" t="n">
        <v>642</v>
      </c>
      <c r="J330" s="5" t="n">
        <v>0.4</v>
      </c>
      <c r="K330" s="4" t="n">
        <v>495</v>
      </c>
      <c r="L330" s="4" t="n">
        <v>150</v>
      </c>
      <c r="M330" s="5" t="n">
        <v>1.7</v>
      </c>
      <c r="N330" s="3" t="inlineStr">
        <is>
          <t>1</t>
        </is>
      </c>
      <c r="O330" s="3" t="inlineStr">
        <is>
          <t>-</t>
        </is>
      </c>
      <c r="P330" s="3" t="inlineStr">
        <is>
          <t>150형 공장등록 호이스트 2.8톤</t>
        </is>
      </c>
      <c r="Q330" s="6">
        <f>HYPERLINK("https://fin.land.naver.com/articles/2651815067", "매물Link")</f>
        <v/>
      </c>
      <c r="R330" s="6">
        <f>HYPERLINK("https://map.naver.com/p/search/남이면 척산리 136-1", "지도Link")</f>
        <v/>
      </c>
      <c r="S330" s="6">
        <f>HYPERLINK("http://www.eum.go.kr/web/ar/lu/luLandDet.jsp?pnu=4311231021101360001&amp;isNoScr=script&amp;mode=search",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59.2</v>
      </c>
      <c r="W330" s="4" t="n">
        <v>1470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1462</v>
      </c>
      <c r="I331" s="4" t="n">
        <v>442</v>
      </c>
      <c r="J331" s="5" t="n">
        <v>248.9</v>
      </c>
      <c r="K331" s="4" t="n">
        <v>291</v>
      </c>
      <c r="L331" s="4" t="n">
        <v>88</v>
      </c>
      <c r="M331" s="5" t="n">
        <v>1250</v>
      </c>
      <c r="N331" s="3" t="inlineStr">
        <is>
          <t>1</t>
        </is>
      </c>
      <c r="O331" s="3" t="inlineStr">
        <is>
          <t>-</t>
        </is>
      </c>
      <c r="P331" s="3" t="inlineStr">
        <is>
          <t>사진有, 척산삼거리인근, 신축 2종근생제조업소, 대형차량진입용이</t>
        </is>
      </c>
      <c r="Q331" s="6">
        <f>HYPERLINK("https://fin.land.naver.com/articles/2650896912",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2000</v>
      </c>
      <c r="G332" s="4" t="n">
        <v>220</v>
      </c>
      <c r="H332" s="4" t="n">
        <v>1462</v>
      </c>
      <c r="I332" s="4" t="n">
        <v>442</v>
      </c>
      <c r="J332" s="5" t="n">
        <v>0.5</v>
      </c>
      <c r="K332" s="4" t="n">
        <v>291</v>
      </c>
      <c r="L332" s="4" t="n">
        <v>88</v>
      </c>
      <c r="M332" s="5" t="n">
        <v>2.5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척산리 공장3동 개별전체임대</t>
        </is>
      </c>
      <c r="Q332" s="6">
        <f>HYPERLINK("https://fin.land.naver.com/articles/2654890323", "매물Link")</f>
        <v/>
      </c>
      <c r="R332" s="6">
        <f>HYPERLINK("https://map.naver.com/p/search/남이면 척산리 157", "지도Link")</f>
        <v/>
      </c>
      <c r="S332" s="6">
        <f>HYPERLINK("http://www.eum.go.kr/web/ar/lu/luLandDet.jsp?pnu=4311231021101570000&amp;isNoScr=script&amp;mode=search", "토지이음")</f>
        <v/>
      </c>
      <c r="T332" s="3" t="inlineStr">
        <is>
          <t>e교차로합동</t>
        </is>
      </c>
      <c r="U332" s="4" t="n">
        <v>1</v>
      </c>
      <c r="V332" s="5" t="n">
        <v>65</v>
      </c>
      <c r="W332" s="4" t="n">
        <v>1462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158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80000</v>
      </c>
      <c r="G333" s="4" t="n">
        <v>0</v>
      </c>
      <c r="H333" s="4" t="n">
        <v>1436</v>
      </c>
      <c r="I333" s="4" t="n">
        <v>434</v>
      </c>
      <c r="J333" s="5" t="n">
        <v>184.3</v>
      </c>
      <c r="K333" s="4" t="n">
        <v>276</v>
      </c>
      <c r="L333" s="4" t="n">
        <v>83</v>
      </c>
      <c r="M333" s="5" t="n">
        <v>963.9</v>
      </c>
      <c r="N333" s="3" t="inlineStr">
        <is>
          <t>1</t>
        </is>
      </c>
      <c r="O333" s="3" t="inlineStr">
        <is>
          <t>-</t>
        </is>
      </c>
      <c r="P333" s="3" t="inlineStr">
        <is>
          <t>사진有, 척산삼거리인근, 신축 2종근생제조업소, 대형차량진입용이</t>
        </is>
      </c>
      <c r="Q333" s="6">
        <f>HYPERLINK("https://fin.land.naver.com/articles/2650897636", "매물Link")</f>
        <v/>
      </c>
      <c r="R333" s="6">
        <f>HYPERLINK("https://map.naver.com/p/search/남이면 척산리 158", "지도Link")</f>
        <v/>
      </c>
      <c r="S333" s="6">
        <f>HYPERLINK("http://www.eum.go.kr/web/ar/lu/luLandDet.jsp?pnu=4311231021101580000&amp;isNoScr=script&amp;mode=search", "토지이음")</f>
        <v/>
      </c>
      <c r="T333" s="3" t="inlineStr">
        <is>
          <t>태성</t>
        </is>
      </c>
      <c r="U333" s="4" t="n">
        <v>1</v>
      </c>
      <c r="V333" s="5" t="n">
        <v>64.90000000000001</v>
      </c>
      <c r="W333" s="4" t="n">
        <v>1436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매매</t>
        </is>
      </c>
      <c r="F334" s="4" t="n">
        <v>400000</v>
      </c>
      <c r="G334" s="4" t="n">
        <v>0</v>
      </c>
      <c r="H334" s="4" t="n">
        <v>7264</v>
      </c>
      <c r="I334" s="4" t="n">
        <v>2197</v>
      </c>
      <c r="J334" s="5" t="n">
        <v>182.1</v>
      </c>
      <c r="K334" s="4" t="n">
        <v>1337</v>
      </c>
      <c r="L334" s="4" t="n">
        <v>404</v>
      </c>
      <c r="M334" s="5" t="n">
        <v>990.1</v>
      </c>
      <c r="N334" s="3" t="inlineStr">
        <is>
          <t>2</t>
        </is>
      </c>
      <c r="O334" s="3" t="inlineStr">
        <is>
          <t>-</t>
        </is>
      </c>
      <c r="P334" s="3" t="inlineStr">
        <is>
          <t>공장용도</t>
        </is>
      </c>
      <c r="Q334" s="6">
        <f>HYPERLINK("https://fin.land.naver.com/articles/2656228733",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</t>
        </is>
      </c>
      <c r="B335" s="3" t="inlineStr">
        <is>
          <t>계획관리지역</t>
        </is>
      </c>
      <c r="C335" s="3" t="inlineStr">
        <is>
          <t>잡종지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1000</v>
      </c>
      <c r="H335" s="4" t="n">
        <v>7264</v>
      </c>
      <c r="I335" s="4" t="n">
        <v>2197</v>
      </c>
      <c r="J335" s="5" t="n">
        <v>0.5</v>
      </c>
      <c r="K335" s="4" t="n">
        <v>1337</v>
      </c>
      <c r="L335" s="4" t="n">
        <v>404</v>
      </c>
      <c r="M335" s="5" t="n">
        <v>2.5</v>
      </c>
      <c r="N335" s="3" t="inlineStr">
        <is>
          <t>2</t>
        </is>
      </c>
      <c r="O335" s="3" t="inlineStr">
        <is>
          <t>-</t>
        </is>
      </c>
      <c r="P335" s="3" t="inlineStr">
        <is>
          <t>남청주 IC 5.3km ,넓은 야적장,  공장 창고 물류,</t>
        </is>
      </c>
      <c r="Q335" s="6">
        <f>HYPERLINK("https://fin.land.naver.com/articles/2655655358", "매물Link")</f>
        <v/>
      </c>
      <c r="R335" s="6">
        <f>HYPERLINK("https://map.naver.com/p/search/남이면 척산리 232", "지도Link")</f>
        <v/>
      </c>
      <c r="S335" s="6">
        <f>HYPERLINK("http://www.eum.go.kr/web/ar/lu/luLandDet.jsp?pnu=4311231021102320000&amp;isNoScr=script&amp;mode=search",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65.09999999999999</v>
      </c>
      <c r="W335" s="4" t="n">
        <v>7000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12000</v>
      </c>
      <c r="G336" s="4" t="n">
        <v>1200</v>
      </c>
      <c r="H336" s="4" t="n">
        <v>10144</v>
      </c>
      <c r="I336" s="4" t="n">
        <v>3069</v>
      </c>
      <c r="J336" s="5" t="n">
        <v>0.4</v>
      </c>
      <c r="K336" s="4" t="n">
        <v>1810</v>
      </c>
      <c r="L336" s="4" t="n">
        <v>548</v>
      </c>
      <c r="M336" s="5" t="n">
        <v>2.2</v>
      </c>
      <c r="N336" s="3" t="inlineStr">
        <is>
          <t>3</t>
        </is>
      </c>
      <c r="O336" s="3" t="inlineStr">
        <is>
          <t>B1</t>
        </is>
      </c>
      <c r="P336" s="3" t="inlineStr">
        <is>
          <t>남청주 IC 인근 대형 공장, 화물 엘리베이터, 대형차 진출입 원활</t>
        </is>
      </c>
      <c r="Q336" s="6">
        <f>HYPERLINK("https://fin.land.naver.com/articles/2654970875",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대전토지로무소</t>
        </is>
      </c>
      <c r="U336" s="4" t="n">
        <v>2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10144</v>
      </c>
      <c r="I337" s="4" t="n">
        <v>3069</v>
      </c>
      <c r="J337" s="5" t="n">
        <v>358.4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-</t>
        </is>
      </c>
      <c r="P337" s="3" t="inlineStr">
        <is>
          <t>남청주IC인근 대형차 진출입 용이한 관리 잘 된 대형공장, 창고</t>
        </is>
      </c>
      <c r="Q337" s="6">
        <f>HYPERLINK("https://fin.land.naver.com/articles/2652105829",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(주)미르</t>
        </is>
      </c>
      <c r="U337" s="4" t="n">
        <v>1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도로 여건 좋아 대형차량 진출입 가능</t>
        </is>
      </c>
      <c r="Q342" s="6">
        <f>HYPERLINK("https://fin.land.naver.com/articles/2655925598",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1025</v>
      </c>
      <c r="L343" s="4" t="n">
        <v>310</v>
      </c>
      <c r="M343" s="5" t="n">
        <v>612.9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경부 당진영덕고속도로  접근성 좋은 소형창고매매</t>
        </is>
      </c>
      <c r="Q343" s="6">
        <f>HYPERLINK("https://fin.land.naver.com/articles/2651673718",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369-15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130000</v>
      </c>
      <c r="G344" s="4" t="n">
        <v>0</v>
      </c>
      <c r="H344" s="4" t="n">
        <v>1340</v>
      </c>
      <c r="I344" s="4" t="n">
        <v>405</v>
      </c>
      <c r="J344" s="5" t="n">
        <v>321</v>
      </c>
      <c r="K344" s="4" t="n">
        <v>317</v>
      </c>
      <c r="L344" s="4" t="n">
        <v>96</v>
      </c>
      <c r="M344" s="5" t="n">
        <v>1354.2</v>
      </c>
      <c r="N344" s="3" t="inlineStr">
        <is>
          <t>1</t>
        </is>
      </c>
      <c r="O344" s="3" t="inlineStr">
        <is>
          <t>-</t>
        </is>
      </c>
      <c r="P344" s="3" t="inlineStr">
        <is>
          <t>4차로변 광고효과가 매우 좋은 위치입니다.</t>
        </is>
      </c>
      <c r="Q344" s="6">
        <f>HYPERLINK("https://fin.land.naver.com/articles/2655630855", "매물Link")</f>
        <v/>
      </c>
      <c r="R344" s="6">
        <f>HYPERLINK("https://map.naver.com/p/search/남이면 척산리 369-15", "지도Link")</f>
        <v/>
      </c>
      <c r="S344" s="6">
        <f>HYPERLINK("http://www.eum.go.kr/web/ar/lu/luLandDet.jsp?pnu=4311231021103690015&amp;isNoScr=script&amp;mode=search", "토지이음")</f>
        <v/>
      </c>
      <c r="T344" s="3" t="inlineStr">
        <is>
          <t>정민</t>
        </is>
      </c>
      <c r="U344" s="4" t="n">
        <v>1</v>
      </c>
      <c r="V344" s="5" t="n">
        <v>110</v>
      </c>
      <c r="W344" s="4" t="n">
        <v>1340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중로한면</t>
        </is>
      </c>
    </row>
    <row r="345">
      <c r="A345" s="3" t="inlineStr">
        <is>
          <t>남이면 척산리 382-1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HYPERLINK("https://fin.land.naver.com/articles/2654501796", "매물Link")</f>
        <v/>
      </c>
      <c r="R345" s="6">
        <f>HYPERLINK("https://map.naver.com/p/search/남이면 척산리 382-1", "지도Link")</f>
        <v/>
      </c>
      <c r="S345" s="6">
        <f>HYPERLINK("http://www.eum.go.kr/web/ar/lu/luLandDet.jsp?pnu=4311231021103820001&amp;isNoScr=script&amp;mode=search", "토지이음")</f>
        <v/>
      </c>
      <c r="T345" s="3" t="inlineStr">
        <is>
          <t>수풀림</t>
        </is>
      </c>
      <c r="U345" s="4" t="n">
        <v>1</v>
      </c>
      <c r="V345" s="5" t="n">
        <v>98.2</v>
      </c>
      <c r="W345" s="4" t="n">
        <v>236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빠른입주 가능,남청주IC 인근위치, 야드 넓어 대형차량 회전 용이</t>
        </is>
      </c>
      <c r="Q346" s="6">
        <f>HYPERLINK("https://fin.land.naver.com/articles/2655142292",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금화랜드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125000</v>
      </c>
      <c r="G350" s="4" t="n">
        <v>0</v>
      </c>
      <c r="H350" s="4" t="n">
        <v>1379</v>
      </c>
      <c r="I350" s="4" t="n">
        <v>417</v>
      </c>
      <c r="J350" s="5" t="n">
        <v>299.8</v>
      </c>
      <c r="K350" s="4" t="n">
        <v>678</v>
      </c>
      <c r="L350" s="4" t="n">
        <v>205</v>
      </c>
      <c r="M350" s="5" t="n">
        <v>609.8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건물2동을 1동으로사용</t>
        </is>
      </c>
      <c r="Q350" s="6">
        <f>HYPERLINK("https://fin.land.naver.com/articles/2654996678",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120000</v>
      </c>
      <c r="G351" s="4" t="n">
        <v>0</v>
      </c>
      <c r="H351" s="4" t="n">
        <v>1749</v>
      </c>
      <c r="I351" s="4" t="n">
        <v>529</v>
      </c>
      <c r="J351" s="5" t="n">
        <v>226.8</v>
      </c>
      <c r="K351" s="4" t="n">
        <v>678</v>
      </c>
      <c r="L351" s="4" t="n">
        <v>205</v>
      </c>
      <c r="M351" s="5" t="n">
        <v>585.4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남청주IC근처  척산리 공장 매매.대형차량진입가능.</t>
        </is>
      </c>
      <c r="Q351" s="6">
        <f>HYPERLINK("https://fin.land.naver.com/articles/2650966213",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방서에이스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341</v>
      </c>
      <c r="L352" s="4" t="n">
        <v>103</v>
      </c>
      <c r="M352" s="5" t="n">
        <v>1068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남청주ic까지 6차선확장예정.진입로25t가능.남청줏ic5분거리</t>
        </is>
      </c>
      <c r="Q352" s="6">
        <f>HYPERLINK("https://fin.land.naver.com/articles/2653147017",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옥산제일사무소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39-2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2500</v>
      </c>
      <c r="G354" s="4" t="n">
        <v>130</v>
      </c>
      <c r="H354" s="4" t="n">
        <v>1158</v>
      </c>
      <c r="I354" s="4" t="n">
        <v>350</v>
      </c>
      <c r="J354" s="5" t="n">
        <v>0.4</v>
      </c>
      <c r="K354" s="4" t="n">
        <v>230</v>
      </c>
      <c r="L354" s="4" t="n">
        <v>70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대로변 창고</t>
        </is>
      </c>
      <c r="Q354" s="6">
        <f>HYPERLINK("https://fin.land.naver.com/articles/2655904112", "매물Link")</f>
        <v/>
      </c>
      <c r="R354" s="6">
        <f>HYPERLINK("https://map.naver.com/p/search/남이면 척산리 39-2", "지도Link")</f>
        <v/>
      </c>
      <c r="S354" s="6">
        <f>HYPERLINK("http://www.eum.go.kr/web/ar/lu/luLandDet.jsp?pnu=4311231021100390002&amp;isNoScr=script&amp;mode=search", "토지이음")</f>
        <v/>
      </c>
      <c r="T354" s="3" t="inlineStr">
        <is>
          <t>유성부자</t>
        </is>
      </c>
      <c r="U354" s="4" t="n">
        <v>1</v>
      </c>
      <c r="V354" s="5" t="n">
        <v>60.9</v>
      </c>
      <c r="W354" s="4" t="n">
        <v>1158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10000</v>
      </c>
      <c r="G355" s="4" t="n">
        <v>700</v>
      </c>
      <c r="H355" s="4" t="n">
        <v>5582</v>
      </c>
      <c r="I355" s="4" t="n">
        <v>1689</v>
      </c>
      <c r="J355" s="5" t="n">
        <v>0.4</v>
      </c>
      <c r="K355" s="4" t="n">
        <v>2126</v>
      </c>
      <c r="L355" s="4" t="n">
        <v>643</v>
      </c>
      <c r="M355" s="5" t="n">
        <v>1.1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 IC 5km 거리. 공장. 창고.</t>
        </is>
      </c>
      <c r="Q355" s="6">
        <f>HYPERLINK("https://fin.land.naver.com/articles/2655655276",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290000</v>
      </c>
      <c r="G356" s="4" t="n">
        <v>0</v>
      </c>
      <c r="H356" s="4" t="n">
        <v>5582</v>
      </c>
      <c r="I356" s="4" t="n">
        <v>1689</v>
      </c>
      <c r="J356" s="5" t="n">
        <v>171.7</v>
      </c>
      <c r="K356" s="4" t="n">
        <v>2126</v>
      </c>
      <c r="L356" s="4" t="n">
        <v>643</v>
      </c>
      <c r="M356" s="5" t="n">
        <v>451</v>
      </c>
      <c r="N356" s="3" t="inlineStr">
        <is>
          <t>1</t>
        </is>
      </c>
      <c r="O356" s="3" t="inlineStr">
        <is>
          <t>-</t>
        </is>
      </c>
      <c r="P356" s="3" t="inlineStr">
        <is>
          <t>공장용도</t>
        </is>
      </c>
      <c r="Q356" s="6">
        <f>HYPERLINK("https://fin.land.naver.com/articles/2656229568",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진출입 용이, 소형 창고용도로 추천 드림, 사무실 및 화장실 있음</t>
        </is>
      </c>
      <c r="Q357" s="6">
        <f>HYPERLINK("https://fin.land.naver.com/articles/2652675497",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제이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80형 공장 창고</t>
        </is>
      </c>
      <c r="Q359" s="6">
        <f>HYPERLINK("https://fin.land.naver.com/articles/2655779909",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575-2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185</v>
      </c>
      <c r="H361" s="4" t="n">
        <v>1435</v>
      </c>
      <c r="I361" s="4" t="n">
        <v>434</v>
      </c>
      <c r="J361" s="5" t="n">
        <v>0.4</v>
      </c>
      <c r="K361" s="4" t="n">
        <v>218</v>
      </c>
      <c r="L361" s="4" t="n">
        <v>66</v>
      </c>
      <c r="M361" s="5" t="n">
        <v>2.8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척산리 공장 3동 일괄 또는 단독임대 제조업 허가 완료</t>
        </is>
      </c>
      <c r="Q361" s="6">
        <f>HYPERLINK("https://fin.land.naver.com/articles/2656428903", "매물Link")</f>
        <v/>
      </c>
      <c r="R361" s="6">
        <f>HYPERLINK("https://map.naver.com/p/search/남이면 척산리 575-2", "지도Link")</f>
        <v/>
      </c>
      <c r="S361" s="6">
        <f>HYPERLINK("http://www.eum.go.kr/web/ar/lu/luLandDet.jsp?pnu=4311231021105750002&amp;isNoScr=script&amp;mode=search", "토지이음")</f>
        <v/>
      </c>
      <c r="T361" s="3" t="inlineStr">
        <is>
          <t>e교차로합동</t>
        </is>
      </c>
      <c r="U361" s="4" t="n">
        <v>1</v>
      </c>
      <c r="V361" s="5" t="n">
        <v>64.90000000000001</v>
      </c>
      <c r="W361" s="4" t="n">
        <v>1435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592-1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135000</v>
      </c>
      <c r="G362" s="4" t="n">
        <v>0</v>
      </c>
      <c r="H362" s="4" t="n">
        <v>1038</v>
      </c>
      <c r="I362" s="4" t="n">
        <v>314</v>
      </c>
      <c r="J362" s="5" t="n">
        <v>429.9</v>
      </c>
      <c r="K362" s="4" t="n">
        <v>884</v>
      </c>
      <c r="L362" s="4" t="n">
        <v>267</v>
      </c>
      <c r="M362" s="5" t="n">
        <v>505.6</v>
      </c>
      <c r="N362" s="3" t="inlineStr">
        <is>
          <t>2</t>
        </is>
      </c>
      <c r="O362" s="3" t="inlineStr">
        <is>
          <t>-</t>
        </is>
      </c>
      <c r="P362" s="3" t="inlineStr">
        <is>
          <t>식품 프랜차이즈 본사형 제조공장 매매, 수산센터 및 수산물가공공장 가능</t>
        </is>
      </c>
      <c r="Q362" s="6">
        <f>HYPERLINK("https://fin.land.naver.com/articles/2651998080", "매물Link")</f>
        <v/>
      </c>
      <c r="R362" s="6">
        <f>HYPERLINK("https://map.naver.com/p/search/남이면 척산리 592-1", "지도Link")</f>
        <v/>
      </c>
      <c r="S362" s="6">
        <f>HYPERLINK("http://www.eum.go.kr/web/ar/lu/luLandDet.jsp?pnu=4311231021105920001&amp;isNoScr=script&amp;mode=search", "토지이음")</f>
        <v/>
      </c>
      <c r="T362" s="3" t="inlineStr">
        <is>
          <t>충대</t>
        </is>
      </c>
      <c r="U362" s="4" t="n">
        <v>1</v>
      </c>
      <c r="V362" s="5" t="n">
        <v>144.9</v>
      </c>
      <c r="W362" s="4" t="n">
        <v>1021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세로각지(가)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2</t>
        </is>
      </c>
      <c r="O365" s="3" t="inlineStr">
        <is>
          <t>-</t>
        </is>
      </c>
      <c r="P365" s="3" t="inlineStr">
        <is>
          <t>남청주 IC 5분거리 대형차량 진입 가능 제조업소 가능</t>
        </is>
      </c>
      <c r="Q365" s="6">
        <f>HYPERLINK("https://fin.land.naver.com/articles/2652470388",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652-1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67000</v>
      </c>
      <c r="G366" s="4" t="n">
        <v>0</v>
      </c>
      <c r="H366" s="4" t="n">
        <v>1336</v>
      </c>
      <c r="I366" s="4" t="n">
        <v>404</v>
      </c>
      <c r="J366" s="5" t="n">
        <v>165.8</v>
      </c>
      <c r="K366" s="4" t="n">
        <v>228</v>
      </c>
      <c r="L366" s="4" t="n">
        <v>69</v>
      </c>
      <c r="M366" s="5" t="n">
        <v>971</v>
      </c>
      <c r="N366" s="3" t="inlineStr">
        <is>
          <t>1</t>
        </is>
      </c>
      <c r="O366" s="3" t="inlineStr">
        <is>
          <t>-</t>
        </is>
      </c>
      <c r="P366" s="3" t="inlineStr">
        <is>
          <t>즉시사용가능 민원 소재 없는 계획관리지역의 공장부지, 대형차량 진출입편리</t>
        </is>
      </c>
      <c r="Q366" s="6">
        <f>HYPERLINK("https://fin.land.naver.com/articles/2654907037", "매물Link")</f>
        <v/>
      </c>
      <c r="R366" s="6">
        <f>HYPERLINK("https://map.naver.com/p/search/남이면 척산리 652-1", "지도Link")</f>
        <v/>
      </c>
      <c r="S366" s="6">
        <f>HYPERLINK("http://www.eum.go.kr/web/ar/lu/luLandDet.jsp?pnu=4311231021106520001&amp;isNoScr=script&amp;mode=search", "토지이음")</f>
        <v/>
      </c>
      <c r="T366" s="3" t="inlineStr">
        <is>
          <t>대전토지로무소</t>
        </is>
      </c>
      <c r="U366" s="4" t="n">
        <v>1</v>
      </c>
      <c r="V366" s="5" t="n">
        <v>64.7</v>
      </c>
      <c r="W366" s="4" t="n">
        <v>1336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세로각지(가)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350</v>
      </c>
      <c r="H369" s="4" t="n">
        <v>1357</v>
      </c>
      <c r="I369" s="4" t="n">
        <v>410</v>
      </c>
      <c r="J369" s="5" t="n">
        <v>0.9</v>
      </c>
      <c r="K369" s="4" t="n">
        <v>492</v>
      </c>
      <c r="L369" s="4" t="n">
        <v>149</v>
      </c>
      <c r="M369" s="5" t="n">
        <v>2.3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제조업소 임대</t>
        </is>
      </c>
      <c r="Q369" s="6">
        <f>HYPERLINK("https://fin.land.naver.com/articles/2653029834",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남청주i,c  5분위치 단독공장 내부사무실 화장실 대형진입</t>
        </is>
      </c>
      <c r="Q370" s="6">
        <f>HYPERLINK("https://fin.land.naver.com/articles/2656214871",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공장365</t>
        </is>
      </c>
      <c r="U370" s="4" t="n">
        <v>3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330</v>
      </c>
      <c r="H371" s="4" t="n">
        <v>1357</v>
      </c>
      <c r="I371" s="4" t="n">
        <v>410</v>
      </c>
      <c r="J371" s="5" t="n">
        <v>0.8</v>
      </c>
      <c r="K371" s="4" t="n">
        <v>492</v>
      </c>
      <c r="L371" s="4" t="n">
        <v>149</v>
      </c>
      <c r="M371" s="5" t="n">
        <v>2.2</v>
      </c>
      <c r="N371" s="3" t="inlineStr">
        <is>
          <t>1</t>
        </is>
      </c>
      <c r="O371" s="3" t="inlineStr">
        <is>
          <t>-</t>
        </is>
      </c>
      <c r="P371" s="3" t="inlineStr">
        <is>
          <t>도로에 접하는 물류이동이 좋은 위치의 넓은 창고용도 임대 물건이예요</t>
        </is>
      </c>
      <c r="Q371" s="6">
        <f>HYPERLINK("https://fin.land.naver.com/articles/2655034807",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4989명품</t>
        </is>
      </c>
      <c r="U371" s="4" t="n">
        <v>2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건물150형 대지 410형 2종근생제조</t>
        </is>
      </c>
      <c r="Q372" s="6">
        <f>HYPERLINK("https://fin.land.naver.com/articles/2655369431",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 척산리, 공장 창고, 넓은마당, 임대료 조절, 즉시입주</t>
        </is>
      </c>
      <c r="Q373" s="6">
        <f>HYPERLINK("https://fin.land.naver.com/articles/2651938990",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라인</t>
        </is>
      </c>
      <c r="U373" s="4" t="n">
        <v>1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2000</v>
      </c>
      <c r="G374" s="4" t="n">
        <v>180</v>
      </c>
      <c r="H374" s="4" t="n">
        <v>1286</v>
      </c>
      <c r="I374" s="4" t="n">
        <v>389</v>
      </c>
      <c r="J374" s="5" t="n">
        <v>0.5</v>
      </c>
      <c r="K374" s="4" t="n">
        <v>330</v>
      </c>
      <c r="L374" s="4" t="n">
        <v>100</v>
      </c>
      <c r="M374" s="5" t="n">
        <v>1.8</v>
      </c>
      <c r="N374" s="3" t="inlineStr">
        <is>
          <t>1</t>
        </is>
      </c>
      <c r="O374" s="3" t="inlineStr">
        <is>
          <t>-</t>
        </is>
      </c>
      <c r="P374" s="3" t="inlineStr">
        <is>
          <t>1층 100형 2종근생제조업</t>
        </is>
      </c>
      <c r="Q374" s="6">
        <f>HYPERLINK("https://fin.land.naver.com/articles/2655369309", "매물Link")</f>
        <v/>
      </c>
      <c r="R374" s="6">
        <f>HYPERLINK("https://map.naver.com/p/search/남이면 척산리 761", "지도Link")</f>
        <v/>
      </c>
      <c r="S374" s="6">
        <f>HYPERLINK("http://www.eum.go.kr/web/ar/lu/luLandDet.jsp?pnu=4311231021107610000&amp;isNoScr=script&amp;mode=search",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67.5</v>
      </c>
      <c r="W374" s="4" t="n">
        <v>1286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765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200</v>
      </c>
      <c r="H375" s="4" t="n">
        <v>1563</v>
      </c>
      <c r="I375" s="4" t="n">
        <v>473</v>
      </c>
      <c r="J375" s="5" t="n">
        <v>0.4</v>
      </c>
      <c r="K375" s="4" t="n">
        <v>887</v>
      </c>
      <c r="L375" s="4" t="n">
        <v>268</v>
      </c>
      <c r="M375" s="5" t="n">
        <v>0.7</v>
      </c>
      <c r="N375" s="3" t="inlineStr">
        <is>
          <t>1</t>
        </is>
      </c>
      <c r="O375" s="3" t="inlineStr">
        <is>
          <t>-</t>
        </is>
      </c>
      <c r="P375" s="3" t="inlineStr">
        <is>
          <t>면적은 넓게. 임대료는 최저.</t>
        </is>
      </c>
      <c r="Q375" s="6">
        <f>HYPERLINK("https://fin.land.naver.com/articles/2652636082", "매물Link")</f>
        <v/>
      </c>
      <c r="R375" s="6">
        <f>HYPERLINK("https://map.naver.com/p/search/남이면 척산리 765", "지도Link")</f>
        <v/>
      </c>
      <c r="S375" s="6">
        <f>HYPERLINK("http://www.eum.go.kr/web/ar/lu/luLandDet.jsp?pnu=4311231021107650000&amp;isNoScr=script&amp;mode=search", "토지이음")</f>
        <v/>
      </c>
      <c r="T375" s="3" t="inlineStr">
        <is>
          <t>바른</t>
        </is>
      </c>
      <c r="U375" s="4" t="n">
        <v>1</v>
      </c>
      <c r="V375" s="5" t="n">
        <v>62.5</v>
      </c>
      <c r="W375" s="4" t="n">
        <v>1489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850-3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1500</v>
      </c>
      <c r="G376" s="4" t="n">
        <v>130</v>
      </c>
      <c r="H376" s="4" t="n">
        <v>2936</v>
      </c>
      <c r="I376" s="4" t="n">
        <v>888</v>
      </c>
      <c r="J376" s="5" t="n">
        <v>0.1</v>
      </c>
      <c r="K376" s="4" t="n">
        <v>165</v>
      </c>
      <c r="L376" s="4" t="n">
        <v>50</v>
      </c>
      <c r="M376" s="5" t="n">
        <v>2.6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HYPERLINK("https://fin.land.naver.com/articles/2654732319", "매물Link")</f>
        <v/>
      </c>
      <c r="R376" s="6">
        <f>HYPERLINK("https://map.naver.com/p/search/남이면 척산리 850-3", "지도Link")</f>
        <v/>
      </c>
      <c r="S376" s="6">
        <f>HYPERLINK("http://www.eum.go.kr/web/ar/lu/luLandDet.jsp?pnu=4311231021108500003&amp;isNoScr=script&amp;mode=search",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62.9</v>
      </c>
      <c r="W376" s="4" t="n">
        <v>2936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부강면 갈산리 388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333000</v>
      </c>
      <c r="G377" s="4" t="n">
        <v>0</v>
      </c>
      <c r="H377" s="4" t="n">
        <v>2200</v>
      </c>
      <c r="I377" s="4" t="n">
        <v>666</v>
      </c>
      <c r="J377" s="5" t="n">
        <v>500</v>
      </c>
      <c r="K377" s="4" t="n">
        <v>1507</v>
      </c>
      <c r="L377" s="4" t="n">
        <v>456</v>
      </c>
      <c r="M377" s="5" t="n">
        <v>730.3</v>
      </c>
      <c r="N377" s="3" t="inlineStr">
        <is>
          <t>2</t>
        </is>
      </c>
      <c r="O377" s="3" t="inlineStr">
        <is>
          <t>-</t>
        </is>
      </c>
      <c r="P377" s="3" t="inlineStr">
        <is>
          <t>차량 도로 진입여건 좋음, 민원없는 공장 매매</t>
        </is>
      </c>
      <c r="Q377" s="6">
        <f>HYPERLINK("https://fin.land.naver.com/articles/2655242126", "매물Link")</f>
        <v/>
      </c>
      <c r="R377" s="6">
        <f>HYPERLINK("https://map.naver.com/p/search/부강면 갈산리 388", "지도Link")</f>
        <v/>
      </c>
      <c r="S377" s="6">
        <f>HYPERLINK("http://www.eum.go.kr/web/ar/lu/luLandDet.jsp?pnu=3611033024103880000&amp;isNoScr=script&amp;mode=search", "토지이음")</f>
        <v/>
      </c>
      <c r="T377" s="3" t="inlineStr">
        <is>
          <t>(주)미르</t>
        </is>
      </c>
      <c r="U377" s="4" t="n">
        <v>1</v>
      </c>
      <c r="V377" s="5" t="n">
        <v>80.3</v>
      </c>
      <c r="W377" s="4" t="n">
        <v>2149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-</t>
        </is>
      </c>
      <c r="AC377" s="3" t="inlineStr">
        <is>
          <t>2002-05</t>
        </is>
      </c>
      <c r="AD377" s="3" t="inlineStr">
        <is>
          <t>소로한면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접근성 편리한 부강면 공장창고임대, 대형차 출입용이</t>
        </is>
      </c>
      <c r="Q378" s="6">
        <f>HYPERLINK("https://fin.land.naver.com/articles/2656309408",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신탄진다온</t>
        </is>
      </c>
      <c r="U378" s="4" t="n">
        <v>1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440</v>
      </c>
      <c r="H379" s="4" t="n">
        <v>1786</v>
      </c>
      <c r="I379" s="4" t="n">
        <v>540</v>
      </c>
      <c r="J379" s="5" t="n">
        <v>0.8</v>
      </c>
      <c r="K379" s="4" t="n">
        <v>758</v>
      </c>
      <c r="L379" s="4" t="n">
        <v>229</v>
      </c>
      <c r="M379" s="5" t="n">
        <v>1.9</v>
      </c>
      <c r="N379" s="3" t="inlineStr">
        <is>
          <t>2</t>
        </is>
      </c>
      <c r="O379" s="3" t="inlineStr">
        <is>
          <t>-</t>
        </is>
      </c>
      <c r="P379" s="3" t="inlineStr">
        <is>
          <t>교통편리한 부강교차로 옆 저렴한 공장창고 임대</t>
        </is>
      </c>
      <c r="Q379" s="6">
        <f>HYPERLINK("https://fin.land.naver.com/articles/2653276554", "매물Link")</f>
        <v/>
      </c>
      <c r="R379" s="6">
        <f>HYPERLINK("https://map.naver.com/p/search/부강면 갈산리 402", "지도Link")</f>
        <v/>
      </c>
      <c r="S379" s="6">
        <f>HYPERLINK("http://www.eum.go.kr/web/ar/lu/luLandDet.jsp?pnu=3611033024104020000&amp;isNoScr=script&amp;mode=search", "토지이음")</f>
        <v/>
      </c>
      <c r="T379" s="3" t="inlineStr">
        <is>
          <t>세종행복한</t>
        </is>
      </c>
      <c r="U379" s="4" t="n">
        <v>1</v>
      </c>
      <c r="V379" s="5" t="n">
        <v>85.09999999999999</v>
      </c>
      <c r="W379" s="4" t="n">
        <v>1786</v>
      </c>
      <c r="X379" s="3" t="inlineStr">
        <is>
          <t>A동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8.45m</t>
        </is>
      </c>
      <c r="AC379" s="3" t="inlineStr">
        <is>
          <t>2016-04</t>
        </is>
      </c>
      <c r="AD379" s="3" t="inlineStr">
        <is>
          <t>소로각지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세종청주로에 인접한 단독 공장, 세종,청주,남청주IC 10분</t>
        </is>
      </c>
      <c r="Q380" s="6">
        <f>HYPERLINK("https://fin.land.naver.com/articles/2656166107",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더오름</t>
        </is>
      </c>
      <c r="U380" s="4" t="n">
        <v>3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408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2000</v>
      </c>
      <c r="G381" s="4" t="n">
        <v>200</v>
      </c>
      <c r="H381" s="4" t="n">
        <v>3938</v>
      </c>
      <c r="I381" s="4" t="n">
        <v>1191</v>
      </c>
      <c r="J381" s="5" t="n">
        <v>0.2</v>
      </c>
      <c r="K381" s="4" t="n">
        <v>330</v>
      </c>
      <c r="L381" s="4" t="n">
        <v>100</v>
      </c>
      <c r="M381" s="5" t="n">
        <v>2</v>
      </c>
      <c r="N381" s="3" t="inlineStr">
        <is>
          <t>1</t>
        </is>
      </c>
      <c r="O381" s="3" t="inlineStr">
        <is>
          <t>-</t>
        </is>
      </c>
      <c r="P381" s="3" t="inlineStr">
        <is>
          <t>nan</t>
        </is>
      </c>
      <c r="Q381" s="6">
        <f>HYPERLINK("https://fin.land.naver.com/articles/2653489408", "매물Link")</f>
        <v/>
      </c>
      <c r="R381" s="6">
        <f>HYPERLINK("https://map.naver.com/p/search/부강면 갈산리 408", "지도Link")</f>
        <v/>
      </c>
      <c r="S381" s="6">
        <f>HYPERLINK("http://www.eum.go.kr/web/ar/lu/luLandDet.jsp?pnu=3611033024104080000&amp;isNoScr=script&amp;mode=search", "토지이음")</f>
        <v/>
      </c>
      <c r="T381" s="3" t="inlineStr">
        <is>
          <t>창고의여왕</t>
        </is>
      </c>
      <c r="U381" s="4" t="n">
        <v>1</v>
      </c>
      <c r="V381" s="5" t="n">
        <v>80.3</v>
      </c>
      <c r="W381" s="4" t="n">
        <v>3938</v>
      </c>
      <c r="X381" s="3" t="inlineStr">
        <is>
          <t>주1동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10.0m</t>
        </is>
      </c>
      <c r="AC381" s="3" t="inlineStr">
        <is>
          <t>2018-03</t>
        </is>
      </c>
      <c r="AD381" s="3" t="inlineStr">
        <is>
          <t>소로한면</t>
        </is>
      </c>
    </row>
    <row r="382">
      <c r="A382" s="3" t="inlineStr">
        <is>
          <t>부강면 금호리 221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400</v>
      </c>
      <c r="H382" s="4" t="n">
        <v>3831</v>
      </c>
      <c r="I382" s="4" t="n">
        <v>1159</v>
      </c>
      <c r="J382" s="5" t="n">
        <v>0.3</v>
      </c>
      <c r="K382" s="4" t="n">
        <v>386</v>
      </c>
      <c r="L382" s="4" t="n">
        <v>117</v>
      </c>
      <c r="M382" s="5" t="n">
        <v>3.4</v>
      </c>
      <c r="N382" s="3" t="inlineStr">
        <is>
          <t>1</t>
        </is>
      </c>
      <c r="O382" s="3" t="inlineStr">
        <is>
          <t>-</t>
        </is>
      </c>
      <c r="P382" s="3" t="inlineStr">
        <is>
          <t>nan</t>
        </is>
      </c>
      <c r="Q382" s="6">
        <f>HYPERLINK("https://fin.land.naver.com/articles/2651773820", "매물Link")</f>
        <v/>
      </c>
      <c r="R382" s="6">
        <f>HYPERLINK("https://map.naver.com/p/search/부강면 금호리 221", "지도Link")</f>
        <v/>
      </c>
      <c r="S382" s="6">
        <f>HYPERLINK("http://www.eum.go.kr/web/ar/lu/luLandDet.jsp?pnu=3611033028102210000&amp;isNoScr=script&amp;mode=search", "토지이음")</f>
        <v/>
      </c>
      <c r="T382" s="3" t="inlineStr">
        <is>
          <t>대박</t>
        </is>
      </c>
      <c r="U382" s="4" t="n">
        <v>1</v>
      </c>
      <c r="V382" s="5" t="n">
        <v>36.9</v>
      </c>
      <c r="W382" s="4" t="n">
        <v>948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맹지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HYPERLINK("https://fin.land.naver.com/articles/2652988056",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277-2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창고</t>
        </is>
      </c>
      <c r="E384" s="3" t="inlineStr">
        <is>
          <t>월세</t>
        </is>
      </c>
      <c r="F384" s="4" t="n">
        <v>3000</v>
      </c>
      <c r="G384" s="4" t="n">
        <v>260</v>
      </c>
      <c r="H384" s="4" t="n">
        <v>894</v>
      </c>
      <c r="I384" s="4" t="n">
        <v>270</v>
      </c>
      <c r="J384" s="5" t="n">
        <v>1</v>
      </c>
      <c r="K384" s="4" t="n">
        <v>352</v>
      </c>
      <c r="L384" s="4" t="n">
        <v>106</v>
      </c>
      <c r="M384" s="5" t="n">
        <v>2.5</v>
      </c>
      <c r="N384" s="3" t="inlineStr">
        <is>
          <t>1</t>
        </is>
      </c>
      <c r="O384" s="3" t="inlineStr">
        <is>
          <t>-</t>
        </is>
      </c>
      <c r="P384" s="3" t="inlineStr">
        <is>
          <t>세종시 부강 산업단지 옆 공장 및 창고 입니다</t>
        </is>
      </c>
      <c r="Q384" s="6">
        <f>HYPERLINK("https://fin.land.naver.com/articles/2652016240", "매물Link")</f>
        <v/>
      </c>
      <c r="R384" s="6">
        <f>HYPERLINK("https://map.naver.com/p/search/부강면 금호리 277-2", "지도Link")</f>
        <v/>
      </c>
      <c r="S384" s="6">
        <f>HYPERLINK("http://www.eum.go.kr/web/ar/lu/luLandDet.jsp?pnu=3611033028102770002&amp;isNoScr=script&amp;mode=search", "토지이음")</f>
        <v/>
      </c>
      <c r="T384" s="3" t="inlineStr">
        <is>
          <t>더행복</t>
        </is>
      </c>
      <c r="U384" s="4" t="n">
        <v>1</v>
      </c>
      <c r="V384" s="5" t="n">
        <v>67.59999999999999</v>
      </c>
      <c r="W384" s="4" t="n">
        <v>894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제2종근생</t>
        </is>
      </c>
      <c r="AB384" s="3" t="inlineStr">
        <is>
          <t>9.9m</t>
        </is>
      </c>
      <c r="AC384" s="3" t="inlineStr">
        <is>
          <t>2021-07</t>
        </is>
      </c>
      <c r="AD384" s="3" t="inlineStr">
        <is>
          <t>세로한면(가)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 9분 세종 부강일반산업단지 옆 단독 소형 공장임대</t>
        </is>
      </c>
      <c r="Q385" s="6">
        <f>HYPERLINK("https://fin.land.naver.com/articles/2650873411",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더원</t>
        </is>
      </c>
      <c r="U385" s="4" t="n">
        <v>3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389-1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매매</t>
        </is>
      </c>
      <c r="F386" s="4" t="n">
        <v>66000</v>
      </c>
      <c r="G386" s="4" t="n">
        <v>0</v>
      </c>
      <c r="H386" s="4" t="n">
        <v>662</v>
      </c>
      <c r="I386" s="4" t="n">
        <v>200</v>
      </c>
      <c r="J386" s="5" t="n">
        <v>330</v>
      </c>
      <c r="K386" s="4" t="n">
        <v>193</v>
      </c>
      <c r="L386" s="4" t="n">
        <v>58</v>
      </c>
      <c r="M386" s="5" t="n">
        <v>1137.9</v>
      </c>
      <c r="N386" s="3" t="inlineStr">
        <is>
          <t>1</t>
        </is>
      </c>
      <c r="O386" s="3" t="inlineStr">
        <is>
          <t>-</t>
        </is>
      </c>
      <c r="P386" s="3" t="inlineStr">
        <is>
          <t>앞면도로접함 주차공간 많음,일반산업단지와IC근교,일반음식점,물류창고최적</t>
        </is>
      </c>
      <c r="Q386" s="6">
        <f>HYPERLINK("https://fin.land.naver.com/articles/2651041474", "매물Link")</f>
        <v/>
      </c>
      <c r="R386" s="6">
        <f>HYPERLINK("https://map.naver.com/p/search/부강면 금호리 389-1", "지도Link")</f>
        <v/>
      </c>
      <c r="S386" s="6">
        <f>HYPERLINK("http://www.eum.go.kr/web/ar/lu/luLandDet.jsp?pnu=3611033028103890001&amp;isNoScr=script&amp;mode=search", "토지이음")</f>
        <v/>
      </c>
      <c r="T386" s="3" t="inlineStr">
        <is>
          <t>원내</t>
        </is>
      </c>
      <c r="U386" s="4" t="n">
        <v>1</v>
      </c>
      <c r="V386" s="5" t="n">
        <v>79.90000000000001</v>
      </c>
      <c r="W386" s="4" t="n">
        <v>662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경량철골구조</t>
        </is>
      </c>
      <c r="AA386" s="3" t="inlineStr">
        <is>
          <t>제2종근생</t>
        </is>
      </c>
      <c r="AB386" s="3" t="inlineStr">
        <is>
          <t>4.7m</t>
        </is>
      </c>
      <c r="AC386" s="3" t="inlineStr">
        <is>
          <t>2014-12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대형공장 1층 단층구조 연1926p</t>
        </is>
      </c>
      <c r="Q389" s="6">
        <f>HYPERLINK("https://fin.land.naver.com/articles/2653008802",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공장플러스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세종 부강산업단지 인근 야적장 넓은 공장 창고 임대</t>
        </is>
      </c>
      <c r="Q391" s="6">
        <f>HYPERLINK("https://fin.land.naver.com/articles/2652390959",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KS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층고 높고 마당 넓음, 부강산업단지 인근, 즉시입주 가능</t>
        </is>
      </c>
      <c r="Q392" s="6">
        <f>HYPERLINK("https://fin.land.naver.com/articles/2651475999",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제이</t>
        </is>
      </c>
      <c r="U392" s="4" t="n">
        <v>3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부강 산업단지 인접한 공장 및 창고 입니다</t>
        </is>
      </c>
      <c r="Q393" s="6">
        <f>HYPERLINK("https://fin.land.naver.com/articles/2652033586",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사진有 공장 매매</t>
        </is>
      </c>
      <c r="Q395" s="6">
        <f>HYPERLINK("https://fin.land.naver.com/articles/2651075109",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금호리 689</t>
        </is>
      </c>
      <c r="B397" s="3" t="inlineStr">
        <is>
          <t>생산관리지역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210000</v>
      </c>
      <c r="G397" s="4" t="n">
        <v>0</v>
      </c>
      <c r="H397" s="4" t="n">
        <v>2498</v>
      </c>
      <c r="I397" s="4" t="n">
        <v>756</v>
      </c>
      <c r="J397" s="5" t="n">
        <v>277.8</v>
      </c>
      <c r="K397" s="4" t="n">
        <v>755</v>
      </c>
      <c r="L397" s="4" t="n">
        <v>228</v>
      </c>
      <c r="M397" s="5" t="n">
        <v>921.1</v>
      </c>
      <c r="N397" s="3" t="inlineStr">
        <is>
          <t>2</t>
        </is>
      </c>
      <c r="O397" s="3" t="inlineStr">
        <is>
          <t>-</t>
        </is>
      </c>
      <c r="P397" s="3" t="inlineStr">
        <is>
          <t>부강산업단지인근 도로옆 단독공장 2년전 리모델링완비</t>
        </is>
      </c>
      <c r="Q397" s="6">
        <f>HYPERLINK("https://fin.land.naver.com/articles/2650938924", "매물Link")</f>
        <v/>
      </c>
      <c r="R397" s="6">
        <f>HYPERLINK("https://map.naver.com/p/search/부강면 금호리 689", "지도Link")</f>
        <v/>
      </c>
      <c r="S397" s="6">
        <f>HYPERLINK("http://www.eum.go.kr/web/ar/lu/luLandDet.jsp?pnu=3611033028106890000&amp;isNoScr=script&amp;mode=search",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73.09999999999999</v>
      </c>
      <c r="W397" s="4" t="n">
        <v>2498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15.47m</t>
        </is>
      </c>
      <c r="AC397" s="3" t="inlineStr">
        <is>
          <t>2015-06</t>
        </is>
      </c>
      <c r="AD397" s="3" t="inlineStr">
        <is>
          <t>세로한면(가)</t>
        </is>
      </c>
    </row>
    <row r="398">
      <c r="A398" s="3" t="inlineStr">
        <is>
          <t>부강면 노호리 103-5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10000</v>
      </c>
      <c r="G398" s="4" t="n">
        <v>700</v>
      </c>
      <c r="H398" s="4" t="n">
        <v>1037</v>
      </c>
      <c r="I398" s="4" t="n">
        <v>314</v>
      </c>
      <c r="J398" s="5" t="n">
        <v>2.2</v>
      </c>
      <c r="K398" s="4" t="n">
        <v>2485</v>
      </c>
      <c r="L398" s="4" t="n">
        <v>752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11분, 호이스트 10톤, 5톤 2기 구비된 단독공장 임애</t>
        </is>
      </c>
      <c r="Q398" s="6">
        <f>HYPERLINK("https://fin.land.naver.com/articles/2655953117", "매물Link")</f>
        <v/>
      </c>
      <c r="R398" s="6">
        <f>HYPERLINK("https://map.naver.com/p/search/부강면 노호리 103-5", "지도Link")</f>
        <v/>
      </c>
      <c r="S398" s="6">
        <f>HYPERLINK("http://www.eum.go.kr/web/ar/lu/luLandDet.jsp?pnu=3611033027101030005&amp;isNoScr=script&amp;mode=search", "토지이음")</f>
        <v/>
      </c>
      <c r="T398" s="3" t="inlineStr">
        <is>
          <t>청담</t>
        </is>
      </c>
      <c r="U398" s="4" t="n">
        <v>1</v>
      </c>
      <c r="V398" s="5" t="n">
        <v>55</v>
      </c>
      <c r="W398" s="4" t="n">
        <v>2485</v>
      </c>
      <c r="X398" s="3" t="inlineStr">
        <is>
          <t>부2동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7.65m</t>
        </is>
      </c>
      <c r="AC398" s="3" t="inlineStr">
        <is>
          <t>2012-02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HYPERLINK("https://fin.land.naver.com/articles/2655898107",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3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공장 임대</t>
        </is>
      </c>
      <c r="Q402" s="6">
        <f>HYPERLINK("https://fin.land.naver.com/articles/2652988033",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HYPERLINK("https://fin.land.naver.com/articles/2656175154",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8600</v>
      </c>
      <c r="I404" s="4" t="n">
        <v>2602</v>
      </c>
      <c r="J404" s="5" t="n">
        <v>0.6</v>
      </c>
      <c r="K404" s="4" t="n">
        <v>1793</v>
      </c>
      <c r="L404" s="4" t="n">
        <v>542</v>
      </c>
      <c r="M404" s="5" t="n">
        <v>2.8</v>
      </c>
      <c r="N404" s="3" t="inlineStr">
        <is>
          <t>2</t>
        </is>
      </c>
      <c r="O404" s="3" t="inlineStr">
        <is>
          <t>-</t>
        </is>
      </c>
      <c r="P404" s="3" t="inlineStr">
        <is>
          <t>계획관리지역 넓은 야드 층고 높은 공장임대 보1억5천 월1500 매매가능</t>
        </is>
      </c>
      <c r="Q404" s="6">
        <f>HYPERLINK("https://fin.land.naver.com/articles/2654036469",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불당대원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5000</v>
      </c>
      <c r="G405" s="4" t="n">
        <v>500</v>
      </c>
      <c r="H405" s="4" t="n">
        <v>9585</v>
      </c>
      <c r="I405" s="4" t="n">
        <v>2899</v>
      </c>
      <c r="J405" s="5" t="n">
        <v>0.2</v>
      </c>
      <c r="K405" s="4" t="n">
        <v>716</v>
      </c>
      <c r="L405" s="4" t="n">
        <v>217</v>
      </c>
      <c r="M405" s="5" t="n">
        <v>2.3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남청주ic, 신탄진ic 접근성 우수 호이스트 설치된 공장</t>
        </is>
      </c>
      <c r="Q405" s="6">
        <f>HYPERLINK("https://fin.land.naver.com/articles/2656175175",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155-1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570000</v>
      </c>
      <c r="G406" s="4" t="n">
        <v>0</v>
      </c>
      <c r="H406" s="4" t="n">
        <v>9566</v>
      </c>
      <c r="I406" s="4" t="n">
        <v>2894</v>
      </c>
      <c r="J406" s="5" t="n">
        <v>197</v>
      </c>
      <c r="K406" s="4" t="n">
        <v>1793</v>
      </c>
      <c r="L406" s="4" t="n">
        <v>542</v>
      </c>
      <c r="M406" s="5" t="n">
        <v>1051.7</v>
      </c>
      <c r="N406" s="3" t="inlineStr">
        <is>
          <t>1</t>
        </is>
      </c>
      <c r="O406" s="3" t="inlineStr">
        <is>
          <t>-</t>
        </is>
      </c>
      <c r="P406" s="3" t="inlineStr">
        <is>
          <t>제조업,재활용업 다용도 공장 가능,민원 없고 대형차량 진출입이 편리</t>
        </is>
      </c>
      <c r="Q406" s="6">
        <f>HYPERLINK("https://fin.land.naver.com/articles/2656289186", "매물Link")</f>
        <v/>
      </c>
      <c r="R406" s="6">
        <f>HYPERLINK("https://map.naver.com/p/search/부강면 노호리 155-1", "지도Link")</f>
        <v/>
      </c>
      <c r="S406" s="6">
        <f>HYPERLINK("http://www.eum.go.kr/web/ar/lu/luLandDet.jsp?pnu=3611033027101550001&amp;isNoScr=script&amp;mode=search", "토지이음")</f>
        <v/>
      </c>
      <c r="T406" s="3" t="inlineStr">
        <is>
          <t>금화랜드</t>
        </is>
      </c>
      <c r="U406" s="4" t="n">
        <v>2</v>
      </c>
      <c r="V406" s="5" t="n">
        <v>52.6</v>
      </c>
      <c r="W406" s="4" t="n">
        <v>8600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10.3m</t>
        </is>
      </c>
      <c r="AC406" s="3" t="inlineStr">
        <is>
          <t>2002-05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부강면 문곡리 126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760000</v>
      </c>
      <c r="G408" s="4" t="n">
        <v>0</v>
      </c>
      <c r="H408" s="4" t="n">
        <v>9178</v>
      </c>
      <c r="I408" s="4" t="n">
        <v>2776</v>
      </c>
      <c r="J408" s="5" t="n">
        <v>273.8</v>
      </c>
      <c r="K408" s="4" t="n">
        <v>2722</v>
      </c>
      <c r="L408" s="4" t="n">
        <v>823</v>
      </c>
      <c r="M408" s="5" t="n">
        <v>923.5</v>
      </c>
      <c r="N408" s="3" t="inlineStr">
        <is>
          <t>1</t>
        </is>
      </c>
      <c r="O408" s="3" t="inlineStr">
        <is>
          <t>-</t>
        </is>
      </c>
      <c r="P408" s="3" t="inlineStr">
        <is>
          <t>대형 물류창고</t>
        </is>
      </c>
      <c r="Q408" s="6">
        <f>HYPERLINK("https://fin.land.naver.com/articles/2656272796", "매물Link")</f>
        <v/>
      </c>
      <c r="R408" s="6">
        <f>HYPERLINK("https://map.naver.com/p/search/부강면 문곡리 126", "지도Link")</f>
        <v/>
      </c>
      <c r="S408" s="6">
        <f>HYPERLINK("http://www.eum.go.kr/web/ar/lu/luLandDet.jsp?pnu=3611033025101260000&amp;isNoScr=script&amp;mode=search", "토지이음")</f>
        <v/>
      </c>
      <c r="T408" s="3" t="inlineStr">
        <is>
          <t>달리는</t>
        </is>
      </c>
      <c r="U408" s="4" t="n">
        <v>1</v>
      </c>
      <c r="V408" s="5" t="n">
        <v>97.40000000000001</v>
      </c>
      <c r="W408" s="4" t="n">
        <v>8448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10.9m</t>
        </is>
      </c>
      <c r="AC408" s="3" t="inlineStr">
        <is>
          <t>2007-08</t>
        </is>
      </c>
      <c r="AD408" s="3" t="inlineStr">
        <is>
          <t>소로한면</t>
        </is>
      </c>
    </row>
    <row r="409">
      <c r="A409" s="3" t="inlineStr">
        <is>
          <t>부강면 문곡리 128-3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2분거리, 마당 넓고 층고 높은 대형차량 진출입 용이한 창고</t>
        </is>
      </c>
      <c r="Q409" s="6">
        <f>HYPERLINK("https://fin.land.naver.com/articles/2654725153", "매물Link")</f>
        <v/>
      </c>
      <c r="R409" s="6">
        <f>HYPERLINK("https://map.naver.com/p/search/부강면 문곡리 128-3", "지도Link")</f>
        <v/>
      </c>
      <c r="S409" s="6">
        <f>HYPERLINK("http://www.eum.go.kr/web/ar/lu/luLandDet.jsp?pnu=3611033025101280003&amp;isNoScr=script&amp;mode=search", "토지이음")</f>
        <v/>
      </c>
      <c r="T409" s="3" t="inlineStr">
        <is>
          <t>금화랜드</t>
        </is>
      </c>
      <c r="U409" s="4" t="n">
        <v>1</v>
      </c>
      <c r="V409" s="5" t="n">
        <v>102.2</v>
      </c>
      <c r="W409" s="4" t="n">
        <v>2303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남청주IC에서 4분</t>
        </is>
      </c>
      <c r="Q410" s="6">
        <f>HYPERLINK("https://fin.land.naver.com/articles/2651822681",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미더스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140</t>
        </is>
      </c>
      <c r="B412" s="3" t="inlineStr">
        <is>
          <t>계획관리지역</t>
        </is>
      </c>
      <c r="C412" s="3" t="inlineStr">
        <is>
          <t>창고용지</t>
        </is>
      </c>
      <c r="D412" s="3" t="inlineStr">
        <is>
          <t>창고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6153</v>
      </c>
      <c r="I412" s="4" t="n">
        <v>1861</v>
      </c>
      <c r="J412" s="5" t="n">
        <v>403</v>
      </c>
      <c r="K412" s="4" t="n">
        <v>2303</v>
      </c>
      <c r="L412" s="4" t="n">
        <v>697</v>
      </c>
      <c r="M412" s="5" t="n">
        <v>1076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남청주IC 인근 창고, 대형차 진출입 용이</t>
        </is>
      </c>
      <c r="Q412" s="6">
        <f>HYPERLINK("https://fin.land.naver.com/articles/2655625134", "매물Link")</f>
        <v/>
      </c>
      <c r="R412" s="6">
        <f>HYPERLINK("https://map.naver.com/p/search/부강면 문곡리 140", "지도Link")</f>
        <v/>
      </c>
      <c r="S412" s="6">
        <f>HYPERLINK("http://www.eum.go.kr/web/ar/lu/luLandDet.jsp?pnu=3611033025101400000&amp;isNoScr=script&amp;mode=search", "토지이음")</f>
        <v/>
      </c>
      <c r="T412" s="3" t="inlineStr">
        <is>
          <t>라이프</t>
        </is>
      </c>
      <c r="U412" s="4" t="n">
        <v>1</v>
      </c>
      <c r="V412" s="5" t="n">
        <v>102.2</v>
      </c>
      <c r="W412" s="4" t="n">
        <v>3376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12.45m</t>
        </is>
      </c>
      <c r="AC412" s="3" t="inlineStr">
        <is>
          <t>2015-03</t>
        </is>
      </c>
      <c r="AD412" s="3" t="inlineStr">
        <is>
          <t>소로한면</t>
        </is>
      </c>
    </row>
    <row r="413">
      <c r="A413" s="3" t="inlineStr">
        <is>
          <t>부강면 문곡리 154-2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750000</v>
      </c>
      <c r="G413" s="4" t="n">
        <v>0</v>
      </c>
      <c r="H413" s="4" t="n">
        <v>4953</v>
      </c>
      <c r="I413" s="4" t="n">
        <v>1498</v>
      </c>
      <c r="J413" s="5" t="n">
        <v>500.7</v>
      </c>
      <c r="K413" s="4" t="n">
        <v>1543</v>
      </c>
      <c r="L413" s="4" t="n">
        <v>467</v>
      </c>
      <c r="M413" s="5" t="n">
        <v>1606</v>
      </c>
      <c r="N413" s="3" t="inlineStr">
        <is>
          <t>2</t>
        </is>
      </c>
      <c r="O413" s="3" t="inlineStr">
        <is>
          <t>B1</t>
        </is>
      </c>
      <c r="P413" s="3" t="inlineStr">
        <is>
          <t>남청주IC에서 가까워 대형차 진출입이 원활한 곳,증축 가능한 곳</t>
        </is>
      </c>
      <c r="Q413" s="6">
        <f>HYPERLINK("https://fin.land.naver.com/articles/2655723151", "매물Link")</f>
        <v/>
      </c>
      <c r="R413" s="6">
        <f>HYPERLINK("https://map.naver.com/p/search/부강면 문곡리 154-2", "지도Link")</f>
        <v/>
      </c>
      <c r="S413" s="6">
        <f>HYPERLINK("http://www.eum.go.kr/web/ar/lu/luLandDet.jsp?pnu=3611033025101540002&amp;isNoScr=script&amp;mode=search",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141.2</v>
      </c>
      <c r="W413" s="4" t="n">
        <v>4953</v>
      </c>
      <c r="X413" s="3" t="inlineStr">
        <is>
          <t>주건축물제2동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9.1m</t>
        </is>
      </c>
      <c r="AC413" s="3" t="inlineStr">
        <is>
          <t>2022-08</t>
        </is>
      </c>
      <c r="AD413" s="3" t="inlineStr">
        <is>
          <t>소로한면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HYPERLINK("https://fin.land.naver.com/articles/2655309834",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463-27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540000</v>
      </c>
      <c r="G415" s="4" t="n">
        <v>0</v>
      </c>
      <c r="H415" s="4" t="n">
        <v>5644</v>
      </c>
      <c r="I415" s="4" t="n">
        <v>1707</v>
      </c>
      <c r="J415" s="5" t="n">
        <v>316.3</v>
      </c>
      <c r="K415" s="4" t="n">
        <v>756</v>
      </c>
      <c r="L415" s="4" t="n">
        <v>229</v>
      </c>
      <c r="M415" s="5" t="n">
        <v>2358.1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남청주IC와 가깝고 대형차 진출입이 용이한 곳, 층고 11.5m</t>
        </is>
      </c>
      <c r="Q415" s="6">
        <f>HYPERLINK("https://fin.land.naver.com/articles/2654296468", "매물Link")</f>
        <v/>
      </c>
      <c r="R415" s="6">
        <f>HYPERLINK("https://map.naver.com/p/search/부강면 문곡리 463-27", "지도Link")</f>
        <v/>
      </c>
      <c r="S415" s="6">
        <f>HYPERLINK("http://www.eum.go.kr/web/ar/lu/luLandDet.jsp?pnu=3611033025104630027&amp;isNoScr=script&amp;mode=search", "토지이음")</f>
        <v/>
      </c>
      <c r="T415" s="3" t="inlineStr">
        <is>
          <t>(주)미르</t>
        </is>
      </c>
      <c r="U415" s="4" t="n">
        <v>1</v>
      </c>
      <c r="V415" s="5" t="n">
        <v>71.5</v>
      </c>
      <c r="W415" s="4" t="n">
        <v>3776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11.45m</t>
        </is>
      </c>
      <c r="AC415" s="3" t="inlineStr">
        <is>
          <t>2018-07</t>
        </is>
      </c>
      <c r="AD415" s="3" t="inlineStr">
        <is>
          <t>세로한면(가)</t>
        </is>
      </c>
    </row>
    <row r="416">
      <c r="A416" s="3" t="inlineStr">
        <is>
          <t>부강면 문곡리 463-32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410000</v>
      </c>
      <c r="G416" s="4" t="n">
        <v>0</v>
      </c>
      <c r="H416" s="4" t="n">
        <v>5514</v>
      </c>
      <c r="I416" s="4" t="n">
        <v>1668</v>
      </c>
      <c r="J416" s="5" t="n">
        <v>245.8</v>
      </c>
      <c r="K416" s="4" t="n">
        <v>987</v>
      </c>
      <c r="L416" s="4" t="n">
        <v>299</v>
      </c>
      <c r="M416" s="5" t="n">
        <v>1371.2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인근에 있어 진출입이 용이하고 창고시설, 물류센터추천</t>
        </is>
      </c>
      <c r="Q416" s="6">
        <f>HYPERLINK("https://fin.land.naver.com/articles/2653676865", "매물Link")</f>
        <v/>
      </c>
      <c r="R416" s="6">
        <f>HYPERLINK("https://map.naver.com/p/search/부강면 문곡리 463-32", "지도Link")</f>
        <v/>
      </c>
      <c r="S416" s="6">
        <f>HYPERLINK("http://www.eum.go.kr/web/ar/lu/luLandDet.jsp?pnu=3611033025104630032&amp;isNoScr=script&amp;mode=search", "토지이음")</f>
        <v/>
      </c>
      <c r="T416" s="3" t="inlineStr">
        <is>
          <t>금화랜드</t>
        </is>
      </c>
      <c r="U416" s="4" t="n">
        <v>2</v>
      </c>
      <c r="V416" s="5" t="n">
        <v>74.3</v>
      </c>
      <c r="W416" s="4" t="n">
        <v>4900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11.5m</t>
        </is>
      </c>
      <c r="AC416" s="3" t="inlineStr">
        <is>
          <t>2018-12</t>
        </is>
      </c>
      <c r="AD416" s="3" t="inlineStr">
        <is>
          <t>세로한면(가)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5분 거리이며 2차선도로 접한 대형물류창고 도크시설 완비</t>
        </is>
      </c>
      <c r="Q417" s="6">
        <f>HYPERLINK("https://fin.land.naver.com/articles/2654180971",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남청주IC인근, 층고 높고 마당이 넓어 활용도 좋은 대형 물류창고</t>
        </is>
      </c>
      <c r="Q418" s="6">
        <f>HYPERLINK("https://fin.land.naver.com/articles/2655095800",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주건축물제2동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제2종근생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기타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 부강면 차량진출입 용이한 소형 창고임대</t>
        </is>
      </c>
      <c r="Q421" s="6">
        <f>HYPERLINK("https://fin.land.naver.com/articles/2656449173",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신탄진다온</t>
        </is>
      </c>
      <c r="U421" s="4" t="n">
        <v>2</v>
      </c>
      <c r="V421" s="5" t="n">
        <v>144.5</v>
      </c>
      <c r="W421" s="4" t="n">
        <v>2499</v>
      </c>
      <c r="X421" s="3" t="inlineStr">
        <is>
          <t>주건축물제2동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제2종근생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사진0, 제조업 가능하고 대형차량 진입 자유로운 창고임대</t>
        </is>
      </c>
      <c r="Q422" s="6">
        <f>HYPERLINK("https://fin.land.naver.com/articles/2655582732",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주건축물제2동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4.5m</t>
        </is>
      </c>
      <c r="AC424" s="3" t="inlineStr">
        <is>
          <t>2012-02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</v>
      </c>
      <c r="G426" s="4" t="n">
        <v>245</v>
      </c>
      <c r="H426" s="4" t="n">
        <v>1326</v>
      </c>
      <c r="I426" s="4" t="n">
        <v>401</v>
      </c>
      <c r="J426" s="5" t="n">
        <v>0.6</v>
      </c>
      <c r="K426" s="4" t="n">
        <v>929</v>
      </c>
      <c r="L426" s="4" t="n">
        <v>281</v>
      </c>
      <c r="M426" s="5" t="n">
        <v>0.9</v>
      </c>
      <c r="N426" s="3" t="inlineStr">
        <is>
          <t>2</t>
        </is>
      </c>
      <c r="O426" s="3" t="inlineStr">
        <is>
          <t>-</t>
        </is>
      </c>
      <c r="P426" s="3" t="inlineStr">
        <is>
          <t>1층 창고, 2층 제조업소 각 임대 가능</t>
        </is>
      </c>
      <c r="Q426" s="6">
        <f>HYPERLINK("https://fin.land.naver.com/articles/2653531252",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어반나래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130000</v>
      </c>
      <c r="G427" s="4" t="n">
        <v>0</v>
      </c>
      <c r="H427" s="4" t="n">
        <v>1705</v>
      </c>
      <c r="I427" s="4" t="n">
        <v>516</v>
      </c>
      <c r="J427" s="5" t="n">
        <v>251.9</v>
      </c>
      <c r="K427" s="4" t="n">
        <v>929</v>
      </c>
      <c r="L427" s="4" t="n">
        <v>281</v>
      </c>
      <c r="M427" s="5" t="n">
        <v>462.6</v>
      </c>
      <c r="N427" s="3" t="inlineStr">
        <is>
          <t>2</t>
        </is>
      </c>
      <c r="O427" s="3" t="inlineStr">
        <is>
          <t>-</t>
        </is>
      </c>
      <c r="P427" s="3" t="inlineStr">
        <is>
          <t>민원 없는  남 청주 IC인근 대형차 진 출입 편리한 공장, 창고</t>
        </is>
      </c>
      <c r="Q427" s="6">
        <f>HYPERLINK("https://fin.land.naver.com/articles/2651947886",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대전토지로무소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민원없는 지역 공장 매매 건물2개동으로 분할매매 가능 남청주 IC 인접</t>
        </is>
      </c>
      <c r="Q428" s="6">
        <f>HYPERLINK("https://fin.land.naver.com/articles/2651910732",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대전토지로무소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남청주IC와가까워 대형차진출입이 용이,계획관리지역,6m 도로에접함</t>
        </is>
      </c>
      <c r="Q429" s="6">
        <f>HYPERLINK("https://fin.land.naver.com/articles/2656249186",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(주)미르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HYPERLINK("https://fin.land.naver.com/articles/2655678330",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10동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HYPERLINK("https://fin.land.naver.com/articles/2655626606",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10000</v>
      </c>
      <c r="G435" s="4" t="n">
        <v>850</v>
      </c>
      <c r="H435" s="4" t="n">
        <v>21410</v>
      </c>
      <c r="I435" s="4" t="n">
        <v>6477</v>
      </c>
      <c r="J435" s="5" t="n">
        <v>0.1</v>
      </c>
      <c r="K435" s="4" t="n">
        <v>760</v>
      </c>
      <c r="L435" s="4" t="n">
        <v>230</v>
      </c>
      <c r="M435" s="5" t="n">
        <v>3.7</v>
      </c>
      <c r="N435" s="3" t="inlineStr">
        <is>
          <t>1</t>
        </is>
      </c>
      <c r="O435" s="3" t="inlineStr">
        <is>
          <t>-</t>
        </is>
      </c>
      <c r="P435" s="3" t="inlineStr">
        <is>
          <t>귀한 냉동창고와 냉장저온작업실을 구비한 창고 사무실 공간 완비</t>
        </is>
      </c>
      <c r="Q435" s="6">
        <f>HYPERLINK("https://fin.land.naver.com/articles/2654874674",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4500</v>
      </c>
      <c r="G436" s="4" t="n">
        <v>450</v>
      </c>
      <c r="H436" s="4" t="n">
        <v>21410</v>
      </c>
      <c r="I436" s="4" t="n">
        <v>6477</v>
      </c>
      <c r="J436" s="5" t="n">
        <v>0.1</v>
      </c>
      <c r="K436" s="4" t="n">
        <v>726</v>
      </c>
      <c r="L436" s="4" t="n">
        <v>220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사진有 공장 임대</t>
        </is>
      </c>
      <c r="Q436" s="6">
        <f>HYPERLINK("https://fin.land.naver.com/articles/2652988089",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월드</t>
        </is>
      </c>
      <c r="U436" s="4" t="n">
        <v>2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6404</v>
      </c>
      <c r="I437" s="4" t="n">
        <v>1937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민원 발생 소지 없음, 2차선 도로에 접함, 호이스트 5톤 2대, 계근대</t>
        </is>
      </c>
      <c r="Q437" s="6">
        <f>HYPERLINK("https://fin.land.naver.com/articles/2655523286",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제이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6446</v>
      </c>
      <c r="I438" s="4" t="n">
        <v>1950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 청주 접근성 우수 2차선도로변 호이스트 3기 완비된 공장 임대</t>
        </is>
      </c>
      <c r="Q438" s="6">
        <f>HYPERLINK("https://fin.land.naver.com/articles/2655804153",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154-1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2000</v>
      </c>
      <c r="G439" s="4" t="n">
        <v>150</v>
      </c>
      <c r="H439" s="4" t="n">
        <v>2741</v>
      </c>
      <c r="I439" s="4" t="n">
        <v>829</v>
      </c>
      <c r="J439" s="5" t="n">
        <v>0.2</v>
      </c>
      <c r="K439" s="4" t="n">
        <v>192</v>
      </c>
      <c r="L439" s="4" t="n">
        <v>58</v>
      </c>
      <c r="M439" s="5" t="n">
        <v>2.6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접근성 좋고 청주세종간도로인근 2차선도로변</t>
        </is>
      </c>
      <c r="Q439" s="6">
        <f>HYPERLINK("https://fin.land.naver.com/articles/2652625203", "매물Link")</f>
        <v/>
      </c>
      <c r="R439" s="6">
        <f>HYPERLINK("https://map.naver.com/p/search/부강면 행산리 154-1", "지도Link")</f>
        <v/>
      </c>
      <c r="S439" s="6">
        <f>HYPERLINK("http://www.eum.go.kr/web/ar/lu/luLandDet.jsp?pnu=3611033022101540001&amp;isNoScr=script&amp;mode=search", "토지이음")</f>
        <v/>
      </c>
      <c r="T439" s="3" t="inlineStr">
        <is>
          <t>더원</t>
        </is>
      </c>
      <c r="U439" s="4" t="n">
        <v>1</v>
      </c>
      <c r="V439" s="5" t="n">
        <v>59.9</v>
      </c>
      <c r="W439" s="4" t="n">
        <v>2741</v>
      </c>
      <c r="X439" s="3" t="inlineStr">
        <is>
          <t>주1동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제1종근생</t>
        </is>
      </c>
      <c r="AB439" s="3" t="inlineStr">
        <is>
          <t>8.1m</t>
        </is>
      </c>
      <c r="AC439" s="3" t="inlineStr">
        <is>
          <t>2022-07</t>
        </is>
      </c>
      <c r="AD439" s="3" t="inlineStr">
        <is>
          <t>소로한면</t>
        </is>
      </c>
    </row>
    <row r="440">
      <c r="A440" s="3" t="inlineStr">
        <is>
          <t>부강면 행산리 335-1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5000</v>
      </c>
      <c r="G440" s="4" t="n">
        <v>550</v>
      </c>
      <c r="H440" s="4" t="n">
        <v>20331</v>
      </c>
      <c r="I440" s="4" t="n">
        <v>6150</v>
      </c>
      <c r="J440" s="5" t="n">
        <v>0.1</v>
      </c>
      <c r="K440" s="4" t="n">
        <v>810</v>
      </c>
      <c r="L440" s="4" t="n">
        <v>245</v>
      </c>
      <c r="M440" s="5" t="n">
        <v>2.2</v>
      </c>
      <c r="N440" s="3" t="inlineStr">
        <is>
          <t>1</t>
        </is>
      </c>
      <c r="O440" s="3" t="inlineStr">
        <is>
          <t>-</t>
        </is>
      </c>
      <c r="P440" s="3" t="inlineStr">
        <is>
          <t>승압걱정 필요없는 5톤크레인 설치된 공장</t>
        </is>
      </c>
      <c r="Q440" s="6">
        <f>HYPERLINK("https://fin.land.naver.com/articles/2656256408", "매물Link")</f>
        <v/>
      </c>
      <c r="R440" s="6">
        <f>HYPERLINK("https://map.naver.com/p/search/부강면 행산리 335-1", "지도Link")</f>
        <v/>
      </c>
      <c r="S440" s="6">
        <f>HYPERLINK("http://www.eum.go.kr/web/ar/lu/luLandDet.jsp?pnu=3611033022103350001&amp;isNoScr=script&amp;mode=search", "토지이음")</f>
        <v/>
      </c>
      <c r="T440" s="3" t="inlineStr">
        <is>
          <t>창고의여왕</t>
        </is>
      </c>
      <c r="U440" s="4" t="n">
        <v>2</v>
      </c>
      <c r="V440" s="5" t="n">
        <v>55.8</v>
      </c>
      <c r="W440" s="4" t="n">
        <v>20331</v>
      </c>
      <c r="X440" s="3" t="inlineStr">
        <is>
          <t>17동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6.9m</t>
        </is>
      </c>
      <c r="AC440" s="3" t="inlineStr">
        <is>
          <t>2005-12</t>
        </is>
      </c>
      <c r="AD440" s="3" t="inlineStr">
        <is>
          <t>세로한면(가)</t>
        </is>
      </c>
    </row>
    <row r="441">
      <c r="A441" s="3" t="inlineStr">
        <is>
          <t>부강면 행산리 371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120000</v>
      </c>
      <c r="G441" s="4" t="n">
        <v>0</v>
      </c>
      <c r="H441" s="4" t="n">
        <v>815</v>
      </c>
      <c r="I441" s="4" t="n">
        <v>247</v>
      </c>
      <c r="J441" s="5" t="n">
        <v>485.8</v>
      </c>
      <c r="K441" s="4" t="n">
        <v>436</v>
      </c>
      <c r="L441" s="4" t="n">
        <v>132</v>
      </c>
      <c r="M441" s="5" t="n">
        <v>909.1</v>
      </c>
      <c r="N441" s="3" t="inlineStr">
        <is>
          <t>2</t>
        </is>
      </c>
      <c r="O441" s="3" t="inlineStr">
        <is>
          <t>-</t>
        </is>
      </c>
      <c r="P441" s="3" t="inlineStr">
        <is>
          <t>성업중인공장.진입도로확장예정.매도후재임대가능.남청주IC인근.중부물류터미널</t>
        </is>
      </c>
      <c r="Q441" s="6">
        <f>HYPERLINK("https://fin.land.naver.com/articles/2656101871", "매물Link")</f>
        <v/>
      </c>
      <c r="R441" s="6">
        <f>HYPERLINK("https://map.naver.com/p/search/부강면 행산리 371", "지도Link")</f>
        <v/>
      </c>
      <c r="S441" s="6">
        <f>HYPERLINK("http://www.eum.go.kr/web/ar/lu/luLandDet.jsp?pnu=3611033022103710000&amp;isNoScr=script&amp;mode=search", "토지이음")</f>
        <v/>
      </c>
      <c r="T441" s="3" t="inlineStr">
        <is>
          <t>돈방석</t>
        </is>
      </c>
      <c r="U441" s="4" t="n">
        <v>2</v>
      </c>
      <c r="V441" s="5" t="n">
        <v>41.2</v>
      </c>
      <c r="W441" s="4" t="n">
        <v>815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B1</t>
        </is>
      </c>
      <c r="P442" s="3" t="inlineStr">
        <is>
          <t>2020년 준공2022년 크린룸 신설  최신 제조공장, 즉시 입주</t>
        </is>
      </c>
      <c r="Q442" s="6">
        <f>HYPERLINK("https://fin.land.naver.com/articles/2651655971",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진진</t>
        </is>
      </c>
      <c r="U442" s="4" t="n">
        <v>1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686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15000</v>
      </c>
      <c r="G443" s="4" t="n">
        <v>1500</v>
      </c>
      <c r="H443" s="4" t="n">
        <v>5649</v>
      </c>
      <c r="I443" s="4" t="n">
        <v>1709</v>
      </c>
      <c r="J443" s="5" t="n">
        <v>0.9</v>
      </c>
      <c r="K443" s="4" t="n">
        <v>960</v>
      </c>
      <c r="L443" s="4" t="n">
        <v>290</v>
      </c>
      <c r="M443" s="5" t="n">
        <v>5.2</v>
      </c>
      <c r="N443" s="3" t="inlineStr">
        <is>
          <t>1</t>
        </is>
      </c>
      <c r="O443" s="3" t="inlineStr">
        <is>
          <t>-</t>
        </is>
      </c>
      <c r="P443" s="3" t="inlineStr">
        <is>
          <t>클린룸 시설 완비,종이,화학,의료,의약,고무,플라스틱,금속 등 입주 가능</t>
        </is>
      </c>
      <c r="Q443" s="6">
        <f>HYPERLINK("https://fin.land.naver.com/articles/2654324217", "매물Link")</f>
        <v/>
      </c>
      <c r="R443" s="6">
        <f>HYPERLINK("https://map.naver.com/p/search/소정면 고등리 686", "지도Link")</f>
        <v/>
      </c>
      <c r="S443" s="6">
        <f>HYPERLINK("http://www.eum.go.kr/web/ar/lu/luLandDet.jsp?pnu=3611039024106860000&amp;isNoScr=script&amp;mode=search",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107</v>
      </c>
      <c r="W443" s="4" t="n">
        <v>5649.8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2020-06</t>
        </is>
      </c>
      <c r="AD443" s="3" t="inlineStr">
        <is>
          <t>중로한면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8809</v>
      </c>
      <c r="I444" s="4" t="n">
        <v>2665</v>
      </c>
      <c r="J444" s="5" t="n">
        <v>0.6</v>
      </c>
      <c r="K444" s="4" t="n">
        <v>2248</v>
      </c>
      <c r="L444" s="4" t="n">
        <v>680</v>
      </c>
      <c r="M444" s="5" t="n">
        <v>2.5</v>
      </c>
      <c r="N444" s="3" t="inlineStr">
        <is>
          <t>1</t>
        </is>
      </c>
      <c r="O444" s="3" t="inlineStr">
        <is>
          <t>-</t>
        </is>
      </c>
      <c r="P444" s="3" t="inlineStr">
        <is>
          <t>소정면 남천안IC근접 호이스트 공장임대</t>
        </is>
      </c>
      <c r="Q444" s="6">
        <f>HYPERLINK("https://fin.land.naver.com/articles/2654826455",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한울</t>
        </is>
      </c>
      <c r="U444" s="4" t="n">
        <v>1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8595</v>
      </c>
      <c r="I446" s="4" t="n">
        <v>2600</v>
      </c>
      <c r="J446" s="5" t="n">
        <v>0.7</v>
      </c>
      <c r="K446" s="4" t="n">
        <v>4251</v>
      </c>
      <c r="L446" s="4" t="n">
        <v>1286</v>
      </c>
      <c r="M446" s="5" t="n">
        <v>1.3</v>
      </c>
      <c r="N446" s="3" t="inlineStr">
        <is>
          <t>2</t>
        </is>
      </c>
      <c r="O446" s="3" t="inlineStr">
        <is>
          <t>-</t>
        </is>
      </c>
      <c r="P446" s="3" t="inlineStr">
        <is>
          <t>현재공실,호이스트 3t.5t다수 설치됨, 전력700kw,층고 높은 공장</t>
        </is>
      </c>
      <c r="Q446" s="6">
        <f>HYPERLINK("https://fin.land.naver.com/articles/2655953623",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금화랜드</t>
        </is>
      </c>
      <c r="U446" s="4" t="n">
        <v>2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23570</v>
      </c>
      <c r="I447" s="4" t="n">
        <v>7130</v>
      </c>
      <c r="J447" s="5" t="n">
        <v>0.4</v>
      </c>
      <c r="K447" s="4" t="n">
        <v>3676</v>
      </c>
      <c r="L447" s="4" t="n">
        <v>1112</v>
      </c>
      <c r="M447" s="5" t="n">
        <v>2.2</v>
      </c>
      <c r="N447" s="3" t="inlineStr">
        <is>
          <t>1</t>
        </is>
      </c>
      <c r="O447" s="3" t="inlineStr">
        <is>
          <t>-</t>
        </is>
      </c>
      <c r="P447" s="3" t="inlineStr">
        <is>
          <t>세종첨담산업단지내 공장임대 전기990kw 층고12m 호이스트다수 C25</t>
        </is>
      </c>
      <c r="Q447" s="6">
        <f>HYPERLINK("https://fin.land.naver.com/articles/2655367254",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태양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2300000</v>
      </c>
      <c r="G450" s="4" t="n">
        <v>0</v>
      </c>
      <c r="H450" s="4" t="n">
        <v>23575</v>
      </c>
      <c r="I450" s="4" t="n">
        <v>7131</v>
      </c>
      <c r="J450" s="5" t="n">
        <v>322.5</v>
      </c>
      <c r="K450" s="4" t="n">
        <v>5520</v>
      </c>
      <c r="L450" s="4" t="n">
        <v>1670</v>
      </c>
      <c r="M450" s="5" t="n">
        <v>1377.2</v>
      </c>
      <c r="N450" s="3" t="inlineStr">
        <is>
          <t>1</t>
        </is>
      </c>
      <c r="O450" s="3" t="inlineStr">
        <is>
          <t>-</t>
        </is>
      </c>
      <c r="P450" s="3" t="inlineStr">
        <is>
          <t>남천안IC 6분, 남풍세IC 9분 소요</t>
        </is>
      </c>
      <c r="Q450" s="6">
        <f>HYPERLINK("https://fin.land.naver.com/articles/2654663049",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미더스</t>
        </is>
      </c>
      <c r="U450" s="4" t="n">
        <v>3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23570</v>
      </c>
      <c r="I451" s="4" t="n">
        <v>7130</v>
      </c>
      <c r="J451" s="5" t="n">
        <v>322.6</v>
      </c>
      <c r="K451" s="4" t="n">
        <v>5515</v>
      </c>
      <c r="L451" s="4" t="n">
        <v>1668</v>
      </c>
      <c r="M451" s="5" t="n">
        <v>1378.9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 세종첨단산업단지내 여유부지 넓은야드 C25 대형공장</t>
        </is>
      </c>
      <c r="Q451" s="6">
        <f>HYPERLINK("https://fin.land.naver.com/articles/2654036294",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불당대원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2002</v>
      </c>
      <c r="L453" s="4" t="n">
        <v>606</v>
      </c>
      <c r="M453" s="5" t="n">
        <v>2.6</v>
      </c>
      <c r="N453" s="3" t="inlineStr">
        <is>
          <t>2</t>
        </is>
      </c>
      <c r="O453" s="3" t="inlineStr">
        <is>
          <t>-</t>
        </is>
      </c>
      <c r="P453" s="3" t="inlineStr">
        <is>
          <t>세종시 소정면 남풍세IC 10분 사무실 갖춰진 대형 공장 임대</t>
        </is>
      </c>
      <c r="Q453" s="6">
        <f>HYPERLINK("https://fin.land.naver.com/articles/2651693450",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주2동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1</t>
        </is>
      </c>
      <c r="O454" s="3" t="inlineStr">
        <is>
          <t>-</t>
        </is>
      </c>
      <c r="P454" s="3" t="inlineStr">
        <is>
          <t>대형공장 임대</t>
        </is>
      </c>
      <c r="Q454" s="6">
        <f>HYPERLINK("https://fin.land.naver.com/articles/2654158574",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마니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HYPERLINK("https://fin.land.naver.com/articles/2655671589",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HYPERLINK("https://fin.land.naver.com/articles/2655738592",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크라운</t>
        </is>
      </c>
      <c r="U456" s="4" t="n">
        <v>4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2399</v>
      </c>
      <c r="L457" s="4" t="n">
        <v>726</v>
      </c>
      <c r="M457" s="5" t="n">
        <v>2.2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HYPERLINK("https://fin.land.naver.com/articles/2656215512",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20000</v>
      </c>
      <c r="G458" s="4" t="n">
        <v>1600</v>
      </c>
      <c r="H458" s="4" t="n">
        <v>6611</v>
      </c>
      <c r="I458" s="4" t="n">
        <v>2000</v>
      </c>
      <c r="J458" s="5" t="n">
        <v>0.8</v>
      </c>
      <c r="K458" s="4" t="n">
        <v>4595</v>
      </c>
      <c r="L458" s="4" t="n">
        <v>1390</v>
      </c>
      <c r="M458" s="5" t="n">
        <v>1.2</v>
      </c>
      <c r="N458" s="3" t="inlineStr">
        <is>
          <t>2</t>
        </is>
      </c>
      <c r="O458" s="3" t="inlineStr">
        <is>
          <t>-</t>
        </is>
      </c>
      <c r="P458" s="3" t="inlineStr">
        <is>
          <t>전력700kw,층고10m,호이스트 설치된 컨디션 좋은 공장</t>
        </is>
      </c>
      <c r="Q458" s="6">
        <f>HYPERLINK("https://fin.land.naver.com/articles/2655965392",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금화랜드</t>
        </is>
      </c>
      <c r="U458" s="4" t="n">
        <v>3</v>
      </c>
      <c r="V458" s="5" t="n">
        <v>96.40000000000001</v>
      </c>
      <c r="W458" s="4" t="n">
        <v>6618.4</v>
      </c>
      <c r="X458" s="3" t="inlineStr">
        <is>
          <t>주1동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150000</v>
      </c>
      <c r="G459" s="4" t="n">
        <v>0</v>
      </c>
      <c r="H459" s="4" t="n">
        <v>4454</v>
      </c>
      <c r="I459" s="4" t="n">
        <v>1347</v>
      </c>
      <c r="J459" s="5" t="n">
        <v>111.4</v>
      </c>
      <c r="K459" s="4" t="n">
        <v>559</v>
      </c>
      <c r="L459" s="4" t="n">
        <v>169</v>
      </c>
      <c r="M459" s="5" t="n">
        <v>887.6</v>
      </c>
      <c r="N459" s="3" t="inlineStr">
        <is>
          <t>1</t>
        </is>
      </c>
      <c r="O459" s="3" t="inlineStr">
        <is>
          <t>-</t>
        </is>
      </c>
      <c r="P459" s="3" t="inlineStr">
        <is>
          <t>세종특별자치시 공장 매매</t>
        </is>
      </c>
      <c r="Q459" s="6">
        <f>HYPERLINK("https://fin.land.naver.com/articles/2651855797",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성성합동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공장매매 층고7m 전기30kw 1번국도 5분 남천안</t>
        </is>
      </c>
      <c r="Q461" s="6">
        <f>HYPERLINK("https://fin.land.naver.com/articles/2656415805",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태양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-</t>
        </is>
      </c>
      <c r="P463" s="3" t="inlineStr">
        <is>
          <t>고속도로  7분 내 진입 가능한 단독 공장 매매</t>
        </is>
      </c>
      <c r="Q463" s="6">
        <f>HYPERLINK("https://fin.land.naver.com/articles/2655020233",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크라운</t>
        </is>
      </c>
      <c r="U463" s="4" t="n">
        <v>2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1050000</v>
      </c>
      <c r="G472" s="4" t="n">
        <v>0</v>
      </c>
      <c r="H472" s="4" t="n">
        <v>9768</v>
      </c>
      <c r="I472" s="4" t="n">
        <v>2955</v>
      </c>
      <c r="J472" s="5" t="n">
        <v>355.3</v>
      </c>
      <c r="K472" s="4" t="n">
        <v>4329</v>
      </c>
      <c r="L472" s="4" t="n">
        <v>1310</v>
      </c>
      <c r="M472" s="5" t="n">
        <v>801.5</v>
      </c>
      <c r="N472" s="3" t="inlineStr">
        <is>
          <t>2</t>
        </is>
      </c>
      <c r="O472" s="3" t="inlineStr">
        <is>
          <t>-</t>
        </is>
      </c>
      <c r="P472" s="3" t="inlineStr">
        <is>
          <t>남청주IC 10분,세종시청 20분거리,빠른 입주 가능</t>
        </is>
      </c>
      <c r="Q472" s="6">
        <f>HYPERLINK("https://fin.land.naver.com/articles/2654606972",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2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187-2</t>
        </is>
      </c>
      <c r="B473" s="3" t="inlineStr">
        <is>
          <t>계획관리지역</t>
        </is>
      </c>
      <c r="C473" s="3" t="inlineStr">
        <is>
          <t>창고용지</t>
        </is>
      </c>
      <c r="D473" s="3" t="inlineStr">
        <is>
          <t>창고</t>
        </is>
      </c>
      <c r="E473" s="3" t="inlineStr">
        <is>
          <t>월세</t>
        </is>
      </c>
      <c r="F473" s="4" t="n">
        <v>5000</v>
      </c>
      <c r="G473" s="4" t="n">
        <v>400</v>
      </c>
      <c r="H473" s="4" t="n">
        <v>2828</v>
      </c>
      <c r="I473" s="4" t="n">
        <v>855</v>
      </c>
      <c r="J473" s="5" t="n">
        <v>0.5</v>
      </c>
      <c r="K473" s="4" t="n">
        <v>660</v>
      </c>
      <c r="L473" s="4" t="n">
        <v>200</v>
      </c>
      <c r="M473" s="5" t="n">
        <v>2</v>
      </c>
      <c r="N473" s="3" t="inlineStr">
        <is>
          <t>1</t>
        </is>
      </c>
      <c r="O473" s="3" t="inlineStr">
        <is>
          <t>-</t>
        </is>
      </c>
      <c r="P473" s="3" t="inlineStr">
        <is>
          <t>사진有 창고 임대</t>
        </is>
      </c>
      <c r="Q473" s="6">
        <f>HYPERLINK("https://fin.land.naver.com/articles/2652987986", "매물Link")</f>
        <v/>
      </c>
      <c r="R473" s="6">
        <f>HYPERLINK("https://map.naver.com/p/search/연동면 내판리 187-2", "지도Link")</f>
        <v/>
      </c>
      <c r="S473" s="6">
        <f>HYPERLINK("http://www.eum.go.kr/web/ar/lu/luLandDet.jsp?pnu=3611032021101870002&amp;isNoScr=script&amp;mode=search",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200.9</v>
      </c>
      <c r="W473" s="4" t="n">
        <v>2828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창고시설</t>
        </is>
      </c>
      <c r="AB473" s="3" t="inlineStr">
        <is>
          <t>8.4m</t>
        </is>
      </c>
      <c r="AC473" s="3" t="inlineStr">
        <is>
          <t>1998-12</t>
        </is>
      </c>
      <c r="AD473" s="3" t="inlineStr">
        <is>
          <t>소로한면</t>
        </is>
      </c>
    </row>
    <row r="474">
      <c r="A474" s="3" t="inlineStr">
        <is>
          <t>연동면 내판리 602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400000</v>
      </c>
      <c r="G474" s="4" t="n">
        <v>0</v>
      </c>
      <c r="H474" s="4" t="n">
        <v>3004</v>
      </c>
      <c r="I474" s="4" t="n">
        <v>909</v>
      </c>
      <c r="J474" s="5" t="n">
        <v>440</v>
      </c>
      <c r="K474" s="4" t="n">
        <v>1328</v>
      </c>
      <c r="L474" s="4" t="n">
        <v>402</v>
      </c>
      <c r="M474" s="5" t="n">
        <v>995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명학산단 인근, 입지 및 투자가치 A플러스 내판리 공장 매매</t>
        </is>
      </c>
      <c r="Q474" s="6">
        <f>HYPERLINK("https://fin.land.naver.com/articles/2654666148", "매물Link")</f>
        <v/>
      </c>
      <c r="R474" s="6">
        <f>HYPERLINK("https://map.naver.com/p/search/연동면 내판리 602", "지도Link")</f>
        <v/>
      </c>
      <c r="S474" s="6">
        <f>HYPERLINK("http://www.eum.go.kr/web/ar/lu/luLandDet.jsp?pnu=3611032021106020000&amp;isNoScr=script&amp;mode=search",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65.40000000000001</v>
      </c>
      <c r="W474" s="4" t="n">
        <v>3004</v>
      </c>
      <c r="X474" s="3" t="inlineStr">
        <is>
          <t>주건축물제2동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2015-04</t>
        </is>
      </c>
      <c r="AD474" s="3" t="inlineStr">
        <is>
          <t>세로한면(가)</t>
        </is>
      </c>
    </row>
    <row r="475">
      <c r="A475" s="3" t="inlineStr">
        <is>
          <t>연동면 내판리 711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685000</v>
      </c>
      <c r="G475" s="4" t="n">
        <v>0</v>
      </c>
      <c r="H475" s="4" t="n">
        <v>4511</v>
      </c>
      <c r="I475" s="4" t="n">
        <v>1365</v>
      </c>
      <c r="J475" s="5" t="n">
        <v>501.8</v>
      </c>
      <c r="K475" s="4" t="n">
        <v>987</v>
      </c>
      <c r="L475" s="4" t="n">
        <v>299</v>
      </c>
      <c r="M475" s="5" t="n">
        <v>2291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명학산업단지 삼성전기 인근 귀한 공장 급매</t>
        </is>
      </c>
      <c r="Q475" s="6">
        <f>HYPERLINK("https://fin.land.naver.com/articles/2652597085", "매물Link")</f>
        <v/>
      </c>
      <c r="R475" s="6">
        <f>HYPERLINK("https://map.naver.com/p/search/연동면 내판리 711", "지도Link")</f>
        <v/>
      </c>
      <c r="S475" s="6">
        <f>HYPERLINK("http://www.eum.go.kr/web/ar/lu/luLandDet.jsp?pnu=3611032021107110000&amp;isNoScr=script&amp;mode=search",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106.6</v>
      </c>
      <c r="W475" s="4" t="n">
        <v>4511.2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9.5m</t>
        </is>
      </c>
      <c r="AC475" s="3" t="inlineStr">
        <is>
          <t>2017-12</t>
        </is>
      </c>
      <c r="AD475" s="3" t="inlineStr">
        <is>
          <t>중로한면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세종시 일반공업지역의 호이스트 및 층고 높은 대형공장</t>
        </is>
      </c>
      <c r="Q476" s="6">
        <f>HYPERLINK("https://fin.land.naver.com/articles/2653996587",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(주)미르</t>
        </is>
      </c>
      <c r="U476" s="4" t="n">
        <v>2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송용리 254-1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164</v>
      </c>
      <c r="I477" s="4" t="n">
        <v>50</v>
      </c>
      <c r="J477" s="5" t="n">
        <v>4</v>
      </c>
      <c r="K477" s="4" t="n">
        <v>330</v>
      </c>
      <c r="L477" s="4" t="n">
        <v>100</v>
      </c>
      <c r="M477" s="5" t="n">
        <v>2</v>
      </c>
      <c r="N477" s="3" t="inlineStr">
        <is>
          <t>1</t>
        </is>
      </c>
      <c r="O477" s="3" t="inlineStr">
        <is>
          <t>-</t>
        </is>
      </c>
      <c r="P477" s="3" t="inlineStr">
        <is>
          <t>카폐 및 창고사무실추천</t>
        </is>
      </c>
      <c r="Q477" s="6">
        <f>HYPERLINK("https://fin.land.naver.com/articles/2651027858", "매물Link")</f>
        <v/>
      </c>
      <c r="R477" s="6">
        <f>HYPERLINK("https://map.naver.com/p/search/연동면 송용리 254-1", "지도Link")</f>
        <v/>
      </c>
      <c r="S477" s="6">
        <f>HYPERLINK("http://www.eum.go.kr/web/ar/lu/luLandDet.jsp?pnu=3611032027102540001&amp;isNoScr=script&amp;mode=search", "토지이음")</f>
        <v/>
      </c>
      <c r="T477" s="3" t="inlineStr">
        <is>
          <t>연동스카이</t>
        </is>
      </c>
      <c r="U477" s="4" t="n">
        <v>1</v>
      </c>
      <c r="V477" s="5" t="n">
        <v>57.3</v>
      </c>
      <c r="W477" s="4" t="n">
        <v>1649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1976-04</t>
        </is>
      </c>
      <c r="AD477" s="3" t="inlineStr">
        <is>
          <t>세로한면(가)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세종시의 대형공장 및 창고,물류센터 추천, 남청주IC에서 7km 위치</t>
        </is>
      </c>
      <c r="Q478" s="6">
        <f>HYPERLINK("https://fin.land.naver.com/articles/2654726261",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금화랜드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주2동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대형 공장 창고 매매</t>
        </is>
      </c>
      <c r="Q479" s="6">
        <f>HYPERLINK("https://fin.land.naver.com/articles/2655929489",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THE행복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주2동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561-1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2277</v>
      </c>
      <c r="I480" s="4" t="n">
        <v>689</v>
      </c>
      <c r="J480" s="5" t="n">
        <v>435.4</v>
      </c>
      <c r="K480" s="4" t="n">
        <v>1150</v>
      </c>
      <c r="L480" s="4" t="n">
        <v>348</v>
      </c>
      <c r="M480" s="5" t="n">
        <v>862.1</v>
      </c>
      <c r="N480" s="3" t="inlineStr">
        <is>
          <t>2</t>
        </is>
      </c>
      <c r="O480" s="3" t="inlineStr">
        <is>
          <t>-</t>
        </is>
      </c>
      <c r="P480" s="3" t="inlineStr">
        <is>
          <t>행복도시 도심1분 최인접 명학산업단지 건너편 6차선도로 바로옆</t>
        </is>
      </c>
      <c r="Q480" s="6">
        <f>HYPERLINK("https://fin.land.naver.com/articles/2651087083", "매물Link")</f>
        <v/>
      </c>
      <c r="R480" s="6">
        <f>HYPERLINK("https://map.naver.com/p/search/연동면 응암리 561-1", "지도Link")</f>
        <v/>
      </c>
      <c r="S480" s="6">
        <f>HYPERLINK("http://www.eum.go.kr/web/ar/lu/luLandDet.jsp?pnu=3611032024105610001&amp;isNoScr=script&amp;mode=search", "토지이음")</f>
        <v/>
      </c>
      <c r="T480" s="3" t="inlineStr">
        <is>
          <t>세종스타</t>
        </is>
      </c>
      <c r="U480" s="4" t="n">
        <v>2</v>
      </c>
      <c r="V480" s="5" t="n">
        <v>68.8</v>
      </c>
      <c r="W480" s="4" t="n">
        <v>2277</v>
      </c>
      <c r="X480" s="3" t="inlineStr">
        <is>
          <t>주건축물제1동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9.3m</t>
        </is>
      </c>
      <c r="AC480" s="3" t="inlineStr">
        <is>
          <t>2011-10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HYPERLINK("https://fin.land.naver.com/articles/2650955285",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세종땅전문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4117</v>
      </c>
      <c r="L482" s="4" t="n">
        <v>1245</v>
      </c>
      <c r="M482" s="5" t="n">
        <v>0.3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및 창고 가능, 즉시 입주 가능, 대형차 진출입 가능</t>
        </is>
      </c>
      <c r="Q482" s="6">
        <f>HYPERLINK("https://fin.land.naver.com/articles/2653062776",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대기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3266</v>
      </c>
      <c r="L483" s="4" t="n">
        <v>988</v>
      </c>
      <c r="M483" s="5" t="n">
        <v>0.4</v>
      </c>
      <c r="N483" s="3" t="inlineStr">
        <is>
          <t>2</t>
        </is>
      </c>
      <c r="O483" s="3" t="inlineStr">
        <is>
          <t>B1</t>
        </is>
      </c>
      <c r="P483" s="3" t="inlineStr">
        <is>
          <t>사통팔달세종시 창고 및 공장 임대</t>
        </is>
      </c>
      <c r="Q483" s="6">
        <f>HYPERLINK("https://fin.land.naver.com/articles/2652104001",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써밋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360</v>
      </c>
      <c r="H484" s="4" t="n">
        <v>7015</v>
      </c>
      <c r="I484" s="4" t="n">
        <v>2122</v>
      </c>
      <c r="J484" s="5" t="n">
        <v>0.2</v>
      </c>
      <c r="K484" s="4" t="n">
        <v>991</v>
      </c>
      <c r="L484" s="4" t="n">
        <v>300</v>
      </c>
      <c r="M484" s="5" t="n">
        <v>1.2</v>
      </c>
      <c r="N484" s="3" t="inlineStr">
        <is>
          <t>2</t>
        </is>
      </c>
      <c r="O484" s="3" t="inlineStr">
        <is>
          <t>B1</t>
        </is>
      </c>
      <c r="P484" s="3" t="inlineStr">
        <is>
          <t>공장 임대</t>
        </is>
      </c>
      <c r="Q484" s="6">
        <f>HYPERLINK("https://fin.land.naver.com/articles/2653033385",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78.3</v>
      </c>
      <c r="W484" s="4" t="n">
        <v>6682</v>
      </c>
      <c r="X484" s="3" t="inlineStr">
        <is>
          <t>주건축물제3동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4.2m</t>
        </is>
      </c>
      <c r="AC484" s="3" t="inlineStr">
        <is>
          <t>2010-12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3500</v>
      </c>
      <c r="G485" s="4" t="n">
        <v>240</v>
      </c>
      <c r="H485" s="4" t="n">
        <v>7015</v>
      </c>
      <c r="I485" s="4" t="n">
        <v>2122</v>
      </c>
      <c r="J485" s="5" t="n">
        <v>0.1</v>
      </c>
      <c r="K485" s="4" t="n">
        <v>4117</v>
      </c>
      <c r="L485" s="4" t="n">
        <v>1245</v>
      </c>
      <c r="M485" s="5" t="n">
        <v>0.2</v>
      </c>
      <c r="N485" s="3" t="inlineStr">
        <is>
          <t>2</t>
        </is>
      </c>
      <c r="O485" s="3" t="inlineStr">
        <is>
          <t>-</t>
        </is>
      </c>
      <c r="P485" s="3" t="inlineStr">
        <is>
          <t>공장 및 창고 가능, 즉시 입주 가능, 대형차 진출입 가능</t>
        </is>
      </c>
      <c r="Q485" s="6">
        <f>HYPERLINK("https://fin.land.naver.com/articles/2653065571",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주식회사 대기</t>
        </is>
      </c>
      <c r="U485" s="4" t="n">
        <v>1</v>
      </c>
      <c r="V485" s="5" t="n">
        <v>78.3</v>
      </c>
      <c r="W485" s="4" t="n">
        <v>6682</v>
      </c>
      <c r="X485" s="3" t="inlineStr">
        <is>
          <t>주건축물제3동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4.2m</t>
        </is>
      </c>
      <c r="AC485" s="3" t="inlineStr">
        <is>
          <t>2010-12</t>
        </is>
      </c>
      <c r="AD485" s="3" t="inlineStr">
        <is>
          <t>소로한면</t>
        </is>
      </c>
    </row>
    <row r="486">
      <c r="A486" s="3" t="inlineStr">
        <is>
          <t>연동면 응암리 666-6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670000</v>
      </c>
      <c r="G486" s="4" t="n">
        <v>0</v>
      </c>
      <c r="H486" s="4" t="n">
        <v>100932</v>
      </c>
      <c r="I486" s="4" t="n">
        <v>30532</v>
      </c>
      <c r="J486" s="5" t="n">
        <v>21.9</v>
      </c>
      <c r="K486" s="4" t="n">
        <v>5677</v>
      </c>
      <c r="L486" s="4" t="n">
        <v>1717</v>
      </c>
      <c r="M486" s="5" t="n">
        <v>390.2</v>
      </c>
      <c r="N486" s="3" t="inlineStr">
        <is>
          <t>2</t>
        </is>
      </c>
      <c r="O486" s="3" t="inlineStr">
        <is>
          <t>-</t>
        </is>
      </c>
      <c r="P486" s="3" t="inlineStr">
        <is>
          <t>즉시입주 가능한 농공단지내 공장입니다</t>
        </is>
      </c>
      <c r="Q486" s="6">
        <f>HYPERLINK("https://fin.land.naver.com/articles/2656262547", "매물Link")</f>
        <v/>
      </c>
      <c r="R486" s="6">
        <f>HYPERLINK("https://map.naver.com/p/search/연동면 응암리 666-6", "지도Link")</f>
        <v/>
      </c>
      <c r="S486" s="6">
        <f>HYPERLINK("http://www.eum.go.kr/web/ar/lu/luLandDet.jsp?pnu=3611032024106660006&amp;isNoScr=script&amp;mode=search", "토지이음")</f>
        <v/>
      </c>
      <c r="T486" s="3" t="inlineStr">
        <is>
          <t>복댕이</t>
        </is>
      </c>
      <c r="U486" s="4" t="n">
        <v>3</v>
      </c>
      <c r="V486" s="5" t="n">
        <v>78.3</v>
      </c>
      <c r="W486" s="4" t="n">
        <v>9368</v>
      </c>
      <c r="X486" s="3" t="inlineStr">
        <is>
          <t>5동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8.52m</t>
        </is>
      </c>
      <c r="AC486" s="3" t="inlineStr">
        <is>
          <t>2013-05</t>
        </is>
      </c>
      <c r="AD486" s="3" t="inlineStr">
        <is>
          <t>소로한면</t>
        </is>
      </c>
    </row>
    <row r="487">
      <c r="A487" s="3" t="inlineStr">
        <is>
          <t>연동면 응암리 666-6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670000</v>
      </c>
      <c r="G487" s="4" t="n">
        <v>0</v>
      </c>
      <c r="H487" s="4" t="n">
        <v>10093</v>
      </c>
      <c r="I487" s="4" t="n">
        <v>3053</v>
      </c>
      <c r="J487" s="5" t="n">
        <v>219.5</v>
      </c>
      <c r="K487" s="4" t="n">
        <v>10093</v>
      </c>
      <c r="L487" s="4" t="n">
        <v>3053</v>
      </c>
      <c r="M487" s="5" t="n">
        <v>219.5</v>
      </c>
      <c r="N487" s="3" t="inlineStr">
        <is>
          <t>2</t>
        </is>
      </c>
      <c r="O487" s="3" t="inlineStr">
        <is>
          <t>B1</t>
        </is>
      </c>
      <c r="P487" s="3" t="inlineStr">
        <is>
          <t>세종시 5생활권 접 산업단지  공장매매</t>
        </is>
      </c>
      <c r="Q487" s="6">
        <f>HYPERLINK("https://fin.land.naver.com/articles/2652650620", "매물Link")</f>
        <v/>
      </c>
      <c r="R487" s="6">
        <f>HYPERLINK("https://map.naver.com/p/search/연동면 응암리 666-6", "지도Link")</f>
        <v/>
      </c>
      <c r="S487" s="6">
        <f>HYPERLINK("http://www.eum.go.kr/web/ar/lu/luLandDet.jsp?pnu=3611032024106660006&amp;isNoScr=script&amp;mode=search", "토지이음")</f>
        <v/>
      </c>
      <c r="T487" s="3" t="inlineStr">
        <is>
          <t>대박</t>
        </is>
      </c>
      <c r="U487" s="4" t="n">
        <v>1</v>
      </c>
      <c r="V487" s="5" t="n">
        <v>78.3</v>
      </c>
      <c r="W487" s="4" t="n">
        <v>9368</v>
      </c>
      <c r="X487" s="3" t="inlineStr">
        <is>
          <t>5동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8.52m</t>
        </is>
      </c>
      <c r="AC487" s="3" t="inlineStr">
        <is>
          <t>2013-05</t>
        </is>
      </c>
      <c r="AD487" s="3" t="inlineStr">
        <is>
          <t>소로한면</t>
        </is>
      </c>
    </row>
    <row r="488">
      <c r="A488" s="3" t="inlineStr">
        <is>
          <t>연동면 응암리 676-12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7000</v>
      </c>
      <c r="G488" s="4" t="n">
        <v>750</v>
      </c>
      <c r="H488" s="4" t="n">
        <v>5241</v>
      </c>
      <c r="I488" s="4" t="n">
        <v>1585</v>
      </c>
      <c r="J488" s="5" t="n">
        <v>0.5</v>
      </c>
      <c r="K488" s="4" t="n">
        <v>1096</v>
      </c>
      <c r="L488" s="4" t="n">
        <v>332</v>
      </c>
      <c r="M488" s="5" t="n">
        <v>2.3</v>
      </c>
      <c r="N488" s="3" t="inlineStr">
        <is>
          <t>1</t>
        </is>
      </c>
      <c r="O488" s="3" t="inlineStr">
        <is>
          <t>-</t>
        </is>
      </c>
      <c r="P488" s="3" t="inlineStr">
        <is>
          <t>세종명학산업단지 초근접 2차선 도로변 공장, 물류창고 임대</t>
        </is>
      </c>
      <c r="Q488" s="6">
        <f>HYPERLINK("https://fin.land.naver.com/articles/2655802229", "매물Link")</f>
        <v/>
      </c>
      <c r="R488" s="6">
        <f>HYPERLINK("https://map.naver.com/p/search/연동면 응암리 676-12", "지도Link")</f>
        <v/>
      </c>
      <c r="S488" s="6">
        <f>HYPERLINK("http://www.eum.go.kr/web/ar/lu/luLandDet.jsp?pnu=3611032024106760012&amp;isNoScr=script&amp;mode=search",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63.9</v>
      </c>
      <c r="W488" s="4" t="n">
        <v>5241</v>
      </c>
      <c r="X488" s="3" t="inlineStr">
        <is>
          <t>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10.25m</t>
        </is>
      </c>
      <c r="AC488" s="3" t="inlineStr">
        <is>
          <t>2015-03</t>
        </is>
      </c>
      <c r="AD488" s="3" t="inlineStr">
        <is>
          <t>소로한면</t>
        </is>
      </c>
    </row>
    <row r="489">
      <c r="A489" s="3" t="inlineStr">
        <is>
          <t>연동면 응암리 676-12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7000</v>
      </c>
      <c r="G489" s="4" t="n">
        <v>750</v>
      </c>
      <c r="H489" s="4" t="n">
        <v>5241</v>
      </c>
      <c r="I489" s="4" t="n">
        <v>1585</v>
      </c>
      <c r="J489" s="5" t="n">
        <v>0.5</v>
      </c>
      <c r="K489" s="4" t="n">
        <v>1096</v>
      </c>
      <c r="L489" s="4" t="n">
        <v>332</v>
      </c>
      <c r="M489" s="5" t="n">
        <v>2.3</v>
      </c>
      <c r="N489" s="3" t="inlineStr">
        <is>
          <t>1</t>
        </is>
      </c>
      <c r="O489" s="3" t="inlineStr">
        <is>
          <t>-</t>
        </is>
      </c>
      <c r="P489" s="3" t="inlineStr">
        <is>
          <t>2차선에 접한 접근성좋고 광고효과 좋은 공장입니다</t>
        </is>
      </c>
      <c r="Q489" s="6">
        <f>HYPERLINK("https://fin.land.naver.com/articles/2653790919", "매물Link")</f>
        <v/>
      </c>
      <c r="R489" s="6">
        <f>HYPERLINK("https://map.naver.com/p/search/연동면 응암리 676-12", "지도Link")</f>
        <v/>
      </c>
      <c r="S489" s="6">
        <f>HYPERLINK("http://www.eum.go.kr/web/ar/lu/luLandDet.jsp?pnu=3611032024106760012&amp;isNoScr=script&amp;mode=search", "토지이음")</f>
        <v/>
      </c>
      <c r="T489" s="3" t="inlineStr">
        <is>
          <t>복댕이</t>
        </is>
      </c>
      <c r="U489" s="4" t="n">
        <v>1</v>
      </c>
      <c r="V489" s="5" t="n">
        <v>63.9</v>
      </c>
      <c r="W489" s="4" t="n">
        <v>5241</v>
      </c>
      <c r="X489" s="3" t="inlineStr">
        <is>
          <t>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10.25m</t>
        </is>
      </c>
      <c r="AC489" s="3" t="inlineStr">
        <is>
          <t>2015-03</t>
        </is>
      </c>
      <c r="AD489" s="3" t="inlineStr">
        <is>
          <t>소로한면</t>
        </is>
      </c>
    </row>
    <row r="490">
      <c r="A490" s="3" t="inlineStr">
        <is>
          <t>연서면 국촌리 7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1057000</v>
      </c>
      <c r="G490" s="4" t="n">
        <v>0</v>
      </c>
      <c r="H490" s="4" t="n">
        <v>6989</v>
      </c>
      <c r="I490" s="4" t="n">
        <v>2114</v>
      </c>
      <c r="J490" s="5" t="n">
        <v>500</v>
      </c>
      <c r="K490" s="4" t="n">
        <v>1217</v>
      </c>
      <c r="L490" s="4" t="n">
        <v>368</v>
      </c>
      <c r="M490" s="5" t="n">
        <v>2872.3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HYPERLINK("https://fin.land.naver.com/articles/2653822298", "매물Link")</f>
        <v/>
      </c>
      <c r="R490" s="6">
        <f>HYPERLINK("https://map.naver.com/p/search/연서면 국촌리 7", "지도Link")</f>
        <v/>
      </c>
      <c r="S490" s="6">
        <f>HYPERLINK("http://www.eum.go.kr/web/ar/lu/luLandDet.jsp?pnu=3611036030100070000&amp;isNoScr=script&amp;mode=search", "토지이음")</f>
        <v/>
      </c>
      <c r="T490" s="3" t="inlineStr">
        <is>
          <t>푸른들</t>
        </is>
      </c>
      <c r="U490" s="4" t="n">
        <v>1</v>
      </c>
      <c r="V490" s="5" t="n">
        <v>102.1</v>
      </c>
      <c r="W490" s="4" t="n">
        <v>4723</v>
      </c>
      <c r="X490" s="3" t="inlineStr">
        <is>
          <t>4동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6.5m</t>
        </is>
      </c>
      <c r="AC490" s="3" t="inlineStr">
        <is>
          <t>2011-01</t>
        </is>
      </c>
      <c r="AD490" s="3" t="inlineStr">
        <is>
          <t>소로한면</t>
        </is>
      </c>
    </row>
    <row r="491">
      <c r="A491" s="3" t="inlineStr">
        <is>
          <t>연서면 봉암리 620-133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5000</v>
      </c>
      <c r="G491" s="4" t="n">
        <v>400</v>
      </c>
      <c r="H491" s="4" t="n">
        <v>2764</v>
      </c>
      <c r="I491" s="4" t="n">
        <v>836</v>
      </c>
      <c r="J491" s="5" t="n">
        <v>0.5</v>
      </c>
      <c r="K491" s="4" t="n">
        <v>655</v>
      </c>
      <c r="L491" s="4" t="n">
        <v>198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월세조정가.6차선대로변접.화물차진입및회전가.대원네스트빌바로옆.SK주유소접</t>
        </is>
      </c>
      <c r="Q491" s="6">
        <f>HYPERLINK("https://fin.land.naver.com/articles/2655521459", "매물Link")</f>
        <v/>
      </c>
      <c r="R491" s="6">
        <f>HYPERLINK("https://map.naver.com/p/search/연서면 봉암리 620-133", "지도Link")</f>
        <v/>
      </c>
      <c r="S491" s="6">
        <f>HYPERLINK("http://www.eum.go.kr/web/ar/lu/luLandDet.jsp?pnu=3611036033106200133&amp;isNoScr=script&amp;mode=search", "토지이음")</f>
        <v/>
      </c>
      <c r="T491" s="3" t="inlineStr">
        <is>
          <t>돈방석</t>
        </is>
      </c>
      <c r="U491" s="4" t="n">
        <v>1</v>
      </c>
      <c r="V491" s="5" t="n">
        <v>171.6</v>
      </c>
      <c r="W491" s="4" t="n">
        <v>2764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제2종근생</t>
        </is>
      </c>
      <c r="AB491" s="3" t="inlineStr">
        <is>
          <t>6.0m</t>
        </is>
      </c>
      <c r="AC491" s="3" t="inlineStr">
        <is>
          <t>2007-04</t>
        </is>
      </c>
      <c r="AD491" s="3" t="inlineStr">
        <is>
          <t>세로한면(가)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세종조치원일반산업단지 대형공장매매 최근리모델링완비로 컨디션좋음</t>
        </is>
      </c>
      <c r="Q492" s="6">
        <f>HYPERLINK("https://fin.land.naver.com/articles/2650956049",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-</t>
        </is>
      </c>
      <c r="P493" s="3" t="inlineStr">
        <is>
          <t>7동구조로 된 대형공장 컨디션 최상 고전력 다양한 유틸리티</t>
        </is>
      </c>
      <c r="Q493" s="6">
        <f>HYPERLINK("https://fin.land.naver.com/articles/2652437120",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공장플러스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부동리 148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3200000</v>
      </c>
      <c r="G494" s="4" t="n">
        <v>0</v>
      </c>
      <c r="H494" s="4" t="n">
        <v>39669</v>
      </c>
      <c r="I494" s="4" t="n">
        <v>12000</v>
      </c>
      <c r="J494" s="5" t="n">
        <v>266.7</v>
      </c>
      <c r="K494" s="4" t="n">
        <v>10430</v>
      </c>
      <c r="L494" s="4" t="n">
        <v>3155</v>
      </c>
      <c r="M494" s="5" t="n">
        <v>1014.3</v>
      </c>
      <c r="N494" s="3" t="inlineStr">
        <is>
          <t>1</t>
        </is>
      </c>
      <c r="O494" s="3" t="inlineStr">
        <is>
          <t>-</t>
        </is>
      </c>
      <c r="P494" s="3" t="inlineStr">
        <is>
          <t>화학물질 제조 가능</t>
        </is>
      </c>
      <c r="Q494" s="6">
        <f>HYPERLINK("https://fin.land.naver.com/articles/2652703353", "매물Link")</f>
        <v/>
      </c>
      <c r="R494" s="6">
        <f>HYPERLINK("https://map.naver.com/p/search/연서면 부동리 148", "지도Link")</f>
        <v/>
      </c>
      <c r="S494" s="6">
        <f>HYPERLINK("http://www.eum.go.kr/web/ar/lu/luLandDet.jsp?pnu=3611036032101480000&amp;isNoScr=script&amp;mode=search", "토지이음")</f>
        <v/>
      </c>
      <c r="T494" s="3" t="inlineStr">
        <is>
          <t>미더스</t>
        </is>
      </c>
      <c r="U494" s="4" t="n">
        <v>2</v>
      </c>
      <c r="V494" s="5" t="n">
        <v>119.4</v>
      </c>
      <c r="W494" s="4" t="n">
        <v>39669.5</v>
      </c>
      <c r="X494" s="3" t="inlineStr">
        <is>
          <t>7동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5.8m</t>
        </is>
      </c>
      <c r="AC494" s="3" t="inlineStr">
        <is>
          <t>2023-02</t>
        </is>
      </c>
      <c r="AD494" s="3" t="inlineStr">
        <is>
          <t>소로각지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B1</t>
        </is>
      </c>
      <c r="P495" s="3" t="inlineStr">
        <is>
          <t>nan</t>
        </is>
      </c>
      <c r="Q495" s="6">
        <f>HYPERLINK("https://fin.land.naver.com/articles/2652771129",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금화랜드</t>
        </is>
      </c>
      <c r="U495" s="4" t="n">
        <v>5</v>
      </c>
      <c r="V495" s="5" t="n">
        <v>119.4</v>
      </c>
      <c r="W495" s="4" t="n">
        <v>39669.5</v>
      </c>
      <c r="X495" s="3" t="inlineStr">
        <is>
          <t>7동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5.8m</t>
        </is>
      </c>
      <c r="AC495" s="3" t="inlineStr">
        <is>
          <t>2023-02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7동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5.8m</t>
        </is>
      </c>
      <c r="AC496" s="3" t="inlineStr">
        <is>
          <t>2023-02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 대형공장매매, 최근 리모델링으로 시설 굿</t>
        </is>
      </c>
      <c r="Q497" s="6">
        <f>HYPERLINK("https://fin.land.naver.com/articles/2654940209",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명진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7동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5.8m</t>
        </is>
      </c>
      <c r="AC497" s="3" t="inlineStr">
        <is>
          <t>2023-02</t>
        </is>
      </c>
      <c r="AD497" s="3" t="inlineStr">
        <is>
          <t>소로각지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1616</v>
      </c>
      <c r="I498" s="4" t="n">
        <v>489</v>
      </c>
      <c r="J498" s="5" t="n">
        <v>1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공장  임대 입니다</t>
        </is>
      </c>
      <c r="Q498" s="6">
        <f>HYPERLINK("https://fin.land.naver.com/articles/2653377343",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마니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1857</v>
      </c>
      <c r="I499" s="4" t="n">
        <v>562</v>
      </c>
      <c r="J499" s="5" t="n">
        <v>0.9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HYPERLINK("https://fin.land.naver.com/articles/2651831711",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310000</v>
      </c>
      <c r="G500" s="4" t="n">
        <v>0</v>
      </c>
      <c r="H500" s="4" t="n">
        <v>1857</v>
      </c>
      <c r="I500" s="4" t="n">
        <v>562</v>
      </c>
      <c r="J500" s="5" t="n">
        <v>551.6</v>
      </c>
      <c r="K500" s="4" t="n">
        <v>1254</v>
      </c>
      <c r="L500" s="4" t="n">
        <v>379</v>
      </c>
      <c r="M500" s="5" t="n">
        <v>817.9</v>
      </c>
      <c r="N500" s="3" t="inlineStr">
        <is>
          <t>2</t>
        </is>
      </c>
      <c r="O500" s="3" t="inlineStr">
        <is>
          <t>-</t>
        </is>
      </c>
      <c r="P500" s="3" t="inlineStr">
        <is>
          <t>월하천 뷰의 전망이 좋고 투자가치 탁월한 공장,창고 매매</t>
        </is>
      </c>
      <c r="Q500" s="6">
        <f>HYPERLINK("https://fin.land.naver.com/articles/2650985014",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비타민무소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성제리 405-1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300000</v>
      </c>
      <c r="G501" s="4" t="n">
        <v>0</v>
      </c>
      <c r="H501" s="4" t="n">
        <v>1616</v>
      </c>
      <c r="I501" s="4" t="n">
        <v>489</v>
      </c>
      <c r="J501" s="5" t="n">
        <v>613.5</v>
      </c>
      <c r="K501" s="4" t="n">
        <v>1254</v>
      </c>
      <c r="L501" s="4" t="n">
        <v>379</v>
      </c>
      <c r="M501" s="5" t="n">
        <v>791.6</v>
      </c>
      <c r="N501" s="3" t="inlineStr">
        <is>
          <t>2</t>
        </is>
      </c>
      <c r="O501" s="3" t="inlineStr">
        <is>
          <t>-</t>
        </is>
      </c>
      <c r="P501" s="3" t="inlineStr">
        <is>
          <t>공장 매매</t>
        </is>
      </c>
      <c r="Q501" s="6">
        <f>HYPERLINK("https://fin.land.naver.com/articles/2653377371", "매물Link")</f>
        <v/>
      </c>
      <c r="R501" s="6">
        <f>HYPERLINK("https://map.naver.com/p/search/연서면 성제리 405-1", "지도Link")</f>
        <v/>
      </c>
      <c r="S501" s="6">
        <f>HYPERLINK("http://www.eum.go.kr/web/ar/lu/luLandDet.jsp?pnu=3611036023104050001&amp;isNoScr=script&amp;mode=search", "토지이음")</f>
        <v/>
      </c>
      <c r="T501" s="3" t="inlineStr">
        <is>
          <t>마니</t>
        </is>
      </c>
      <c r="U501" s="4" t="n">
        <v>1</v>
      </c>
      <c r="V501" s="5" t="n">
        <v>122.2</v>
      </c>
      <c r="W501" s="4" t="n">
        <v>910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1988-05</t>
        </is>
      </c>
      <c r="AD501" s="3" t="inlineStr">
        <is>
          <t>세로한면(가)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전망 좋고 투자가치 높은 월하천 전망의 귀한 공장 창고 판매매장</t>
        </is>
      </c>
      <c r="Q502" s="6">
        <f>HYPERLINK("https://fin.land.naver.com/articles/2652571798",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번영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</v>
      </c>
      <c r="G503" s="4" t="n">
        <v>450</v>
      </c>
      <c r="H503" s="4" t="n">
        <v>910</v>
      </c>
      <c r="I503" s="4" t="n">
        <v>275</v>
      </c>
      <c r="J503" s="5" t="n">
        <v>1.6</v>
      </c>
      <c r="K503" s="4" t="n">
        <v>984</v>
      </c>
      <c r="L503" s="4" t="n">
        <v>298</v>
      </c>
      <c r="M503" s="5" t="n">
        <v>1.5</v>
      </c>
      <c r="N503" s="3" t="inlineStr">
        <is>
          <t>2</t>
        </is>
      </c>
      <c r="O503" s="3" t="inlineStr">
        <is>
          <t>-</t>
        </is>
      </c>
      <c r="P503" s="3" t="inlineStr">
        <is>
          <t>조치원과 고복저수지와 연서면 국가산업단지를 연결하는 성제사거리에 입지</t>
        </is>
      </c>
      <c r="Q503" s="6">
        <f>HYPERLINK("https://fin.land.naver.com/articles/2655219218",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세종베스트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신대리 197-1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5000</v>
      </c>
      <c r="G504" s="4" t="n">
        <v>450</v>
      </c>
      <c r="H504" s="4" t="n">
        <v>3170</v>
      </c>
      <c r="I504" s="4" t="n">
        <v>959</v>
      </c>
      <c r="J504" s="5" t="n">
        <v>0.5</v>
      </c>
      <c r="K504" s="4" t="n">
        <v>802</v>
      </c>
      <c r="L504" s="4" t="n">
        <v>243</v>
      </c>
      <c r="M504" s="5" t="n">
        <v>1.9</v>
      </c>
      <c r="N504" s="3" t="inlineStr">
        <is>
          <t>1</t>
        </is>
      </c>
      <c r="O504" s="3" t="inlineStr">
        <is>
          <t>-</t>
        </is>
      </c>
      <c r="P504" s="3" t="inlineStr">
        <is>
          <t>사진有 공장 임대</t>
        </is>
      </c>
      <c r="Q504" s="6">
        <f>HYPERLINK("https://fin.land.naver.com/articles/2653032812", "매물Link")</f>
        <v/>
      </c>
      <c r="R504" s="6">
        <f>HYPERLINK("https://map.naver.com/p/search/연서면 신대리 197-1", "지도Link")</f>
        <v/>
      </c>
      <c r="S504" s="6">
        <f>HYPERLINK("http://www.eum.go.kr/web/ar/lu/luLandDet.jsp?pnu=3611036029101970001&amp;isNoScr=script&amp;mode=search",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58.4</v>
      </c>
      <c r="W504" s="4" t="n">
        <v>3009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7.3m</t>
        </is>
      </c>
      <c r="AC504" s="3" t="inlineStr">
        <is>
          <t>2005-06</t>
        </is>
      </c>
      <c r="AD504" s="3" t="inlineStr">
        <is>
          <t>소로한면</t>
        </is>
      </c>
    </row>
    <row r="505">
      <c r="A505" s="3" t="inlineStr">
        <is>
          <t>연서면 신대리 242-2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60</v>
      </c>
      <c r="H505" s="4" t="n">
        <v>995</v>
      </c>
      <c r="I505" s="4" t="n">
        <v>301</v>
      </c>
      <c r="J505" s="5" t="n">
        <v>0.2</v>
      </c>
      <c r="K505" s="4" t="n">
        <v>330</v>
      </c>
      <c r="L505" s="4" t="n">
        <v>100</v>
      </c>
      <c r="M505" s="5" t="n">
        <v>0.6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HYPERLINK("https://fin.land.naver.com/articles/2655215391", "매물Link")</f>
        <v/>
      </c>
      <c r="R505" s="6">
        <f>HYPERLINK("https://map.naver.com/p/search/연서면 신대리 242-2", "지도Link")</f>
        <v/>
      </c>
      <c r="S505" s="6">
        <f>HYPERLINK("http://www.eum.go.kr/web/ar/lu/luLandDet.jsp?pnu=3611036029102420002&amp;isNoScr=script&amp;mode=search", "토지이음")</f>
        <v/>
      </c>
      <c r="T505" s="3" t="inlineStr">
        <is>
          <t>덕천</t>
        </is>
      </c>
      <c r="U505" s="4" t="n">
        <v>1</v>
      </c>
      <c r="V505" s="5" t="n">
        <v>93.5</v>
      </c>
      <c r="W505" s="4" t="n">
        <v>1005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6.2m</t>
        </is>
      </c>
      <c r="AC505" s="3" t="inlineStr">
        <is>
          <t>1997-09</t>
        </is>
      </c>
      <c r="AD505" s="3" t="inlineStr">
        <is>
          <t>세로한면(가)</t>
        </is>
      </c>
    </row>
    <row r="506">
      <c r="A506" s="3" t="inlineStr">
        <is>
          <t>연서면 신대리 459-3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450000</v>
      </c>
      <c r="G506" s="4" t="n">
        <v>0</v>
      </c>
      <c r="H506" s="4" t="n">
        <v>9577</v>
      </c>
      <c r="I506" s="4" t="n">
        <v>2897</v>
      </c>
      <c r="J506" s="5" t="n">
        <v>155.3</v>
      </c>
      <c r="K506" s="4" t="n">
        <v>2697</v>
      </c>
      <c r="L506" s="4" t="n">
        <v>816</v>
      </c>
      <c r="M506" s="5" t="n">
        <v>551.5</v>
      </c>
      <c r="N506" s="3" t="inlineStr">
        <is>
          <t>3</t>
        </is>
      </c>
      <c r="O506" s="3" t="inlineStr">
        <is>
          <t>-</t>
        </is>
      </c>
      <c r="P506" s="3" t="inlineStr">
        <is>
          <t>세종스마트국가산업단지 인근 2차선 도로변 공장 매각</t>
        </is>
      </c>
      <c r="Q506" s="6">
        <f>HYPERLINK("https://fin.land.naver.com/articles/2651693675", "매물Link")</f>
        <v/>
      </c>
      <c r="R506" s="6">
        <f>HYPERLINK("https://map.naver.com/p/search/연서면 신대리 459-3", "지도Link")</f>
        <v/>
      </c>
      <c r="S506" s="6">
        <f>HYPERLINK("http://www.eum.go.kr/web/ar/lu/luLandDet.jsp?pnu=3611036029104590003&amp;isNoScr=script&amp;mode=search",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68.7</v>
      </c>
      <c r="W506" s="4" t="n">
        <v>9577</v>
      </c>
      <c r="X506" s="3" t="inlineStr">
        <is>
          <t>3동</t>
        </is>
      </c>
      <c r="Y506" s="7" t="inlineStr">
        <is>
          <t>3층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14.35m</t>
        </is>
      </c>
      <c r="AC506" s="3" t="inlineStr">
        <is>
          <t>2007-01</t>
        </is>
      </c>
      <c r="AD506" s="3" t="inlineStr">
        <is>
          <t>소로한면</t>
        </is>
      </c>
    </row>
    <row r="507">
      <c r="A507" s="3" t="inlineStr">
        <is>
          <t>연서면 신대리 459-3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450000</v>
      </c>
      <c r="G507" s="4" t="n">
        <v>0</v>
      </c>
      <c r="H507" s="4" t="n">
        <v>9577</v>
      </c>
      <c r="I507" s="4" t="n">
        <v>2897</v>
      </c>
      <c r="J507" s="5" t="n">
        <v>155.3</v>
      </c>
      <c r="K507" s="4" t="n">
        <v>2697</v>
      </c>
      <c r="L507" s="4" t="n">
        <v>816</v>
      </c>
      <c r="M507" s="5" t="n">
        <v>551.5</v>
      </c>
      <c r="N507" s="3" t="inlineStr">
        <is>
          <t>3</t>
        </is>
      </c>
      <c r="O507" s="3" t="inlineStr">
        <is>
          <t>-</t>
        </is>
      </c>
      <c r="P507" s="3" t="inlineStr">
        <is>
          <t>연서면 신대리 사옥 및 공장, 냉동 상온창고 총 6동 매매</t>
        </is>
      </c>
      <c r="Q507" s="6">
        <f>HYPERLINK("https://fin.land.naver.com/articles/2652165001", "매물Link")</f>
        <v/>
      </c>
      <c r="R507" s="6">
        <f>HYPERLINK("https://map.naver.com/p/search/연서면 신대리 459-3", "지도Link")</f>
        <v/>
      </c>
      <c r="S507" s="6">
        <f>HYPERLINK("http://www.eum.go.kr/web/ar/lu/luLandDet.jsp?pnu=3611036029104590003&amp;isNoScr=script&amp;mode=search", "토지이음")</f>
        <v/>
      </c>
      <c r="T507" s="3" t="inlineStr">
        <is>
          <t>뉴스카이</t>
        </is>
      </c>
      <c r="U507" s="4" t="n">
        <v>1</v>
      </c>
      <c r="V507" s="5" t="n">
        <v>68.7</v>
      </c>
      <c r="W507" s="4" t="n">
        <v>9577</v>
      </c>
      <c r="X507" s="3" t="inlineStr">
        <is>
          <t>3동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14.35m</t>
        </is>
      </c>
      <c r="AC507" s="3" t="inlineStr">
        <is>
          <t>2007-01</t>
        </is>
      </c>
      <c r="AD507" s="3" t="inlineStr">
        <is>
          <t>소로한면</t>
        </is>
      </c>
    </row>
    <row r="508">
      <c r="A508" s="3" t="inlineStr">
        <is>
          <t>연서면 신대리 532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86700</v>
      </c>
      <c r="G508" s="4" t="n">
        <v>0</v>
      </c>
      <c r="H508" s="4" t="n">
        <v>957</v>
      </c>
      <c r="I508" s="4" t="n">
        <v>289</v>
      </c>
      <c r="J508" s="5" t="n">
        <v>300</v>
      </c>
      <c r="K508" s="4" t="n">
        <v>233</v>
      </c>
      <c r="L508" s="4" t="n">
        <v>70</v>
      </c>
      <c r="M508" s="5" t="n">
        <v>1238.6</v>
      </c>
      <c r="N508" s="3" t="inlineStr">
        <is>
          <t>1</t>
        </is>
      </c>
      <c r="O508" s="3" t="inlineStr">
        <is>
          <t>-</t>
        </is>
      </c>
      <c r="P508" s="3" t="inlineStr">
        <is>
          <t>2차선 도로접한 공장부지.근생용지로도 사용가능,카페,식당,창고추천</t>
        </is>
      </c>
      <c r="Q508" s="6">
        <f>HYPERLINK("https://fin.land.naver.com/articles/2652071695", "매물Link")</f>
        <v/>
      </c>
      <c r="R508" s="6">
        <f>HYPERLINK("https://map.naver.com/p/search/연서면 신대리 532", "지도Link")</f>
        <v/>
      </c>
      <c r="S508" s="6">
        <f>HYPERLINK("http://www.eum.go.kr/web/ar/lu/luLandDet.jsp?pnu=3611036029105320000&amp;isNoScr=script&amp;mode=search", "토지이음")</f>
        <v/>
      </c>
      <c r="T508" s="3" t="inlineStr">
        <is>
          <t>담뜰</t>
        </is>
      </c>
      <c r="U508" s="4" t="n">
        <v>1</v>
      </c>
      <c r="V508" s="5" t="n">
        <v>58.4</v>
      </c>
      <c r="W508" s="4" t="n">
        <v>957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5.4m</t>
        </is>
      </c>
      <c r="AC508" s="3" t="inlineStr">
        <is>
          <t>2002-10</t>
        </is>
      </c>
      <c r="AD508" s="3" t="inlineStr">
        <is>
          <t>소로한면</t>
        </is>
      </c>
    </row>
    <row r="509">
      <c r="A509" s="3" t="inlineStr">
        <is>
          <t>연서면 쌍류리 332-3</t>
        </is>
      </c>
      <c r="B509" s="3" t="inlineStr">
        <is>
          <t>생산관리지역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2000</v>
      </c>
      <c r="G509" s="4" t="n">
        <v>90</v>
      </c>
      <c r="H509" s="4" t="n">
        <v>1491</v>
      </c>
      <c r="I509" s="4" t="n">
        <v>451</v>
      </c>
      <c r="J509" s="5" t="n">
        <v>0.2</v>
      </c>
      <c r="K509" s="4" t="n">
        <v>199</v>
      </c>
      <c r="L509" s="4" t="n">
        <v>60</v>
      </c>
      <c r="M509" s="5" t="n">
        <v>1.5</v>
      </c>
      <c r="N509" s="3" t="inlineStr">
        <is>
          <t>1</t>
        </is>
      </c>
      <c r="O509" s="3" t="inlineStr">
        <is>
          <t>-</t>
        </is>
      </c>
      <c r="P509" s="3" t="inlineStr">
        <is>
          <t>도로에 접한 창고 임대카페,창고,시무실 등 용도</t>
        </is>
      </c>
      <c r="Q509" s="6">
        <f>HYPERLINK("https://fin.land.naver.com/articles/2650858536", "매물Link")</f>
        <v/>
      </c>
      <c r="R509" s="6">
        <f>HYPERLINK("https://map.naver.com/p/search/연서면 쌍류리 332-3", "지도Link")</f>
        <v/>
      </c>
      <c r="S509" s="6">
        <f>HYPERLINK("http://www.eum.go.kr/web/ar/lu/luLandDet.jsp?pnu=3611036026103320003&amp;isNoScr=script&amp;mode=search", "토지이음")</f>
        <v/>
      </c>
      <c r="T509" s="3" t="inlineStr">
        <is>
          <t>세종대박</t>
        </is>
      </c>
      <c r="U509" s="4" t="n">
        <v>1</v>
      </c>
      <c r="V509" s="5" t="n">
        <v>47.6</v>
      </c>
      <c r="W509" s="4" t="n">
        <v>1000</v>
      </c>
      <c r="X509" s="3" t="inlineStr">
        <is>
          <t>2동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제1종근생</t>
        </is>
      </c>
      <c r="AB509" s="3" t="inlineStr">
        <is>
          <t>4.7m</t>
        </is>
      </c>
      <c r="AC509" s="3" t="inlineStr">
        <is>
          <t>2011-12</t>
        </is>
      </c>
      <c r="AD509" s="3" t="inlineStr">
        <is>
          <t>세로한면(가)</t>
        </is>
      </c>
    </row>
    <row r="510">
      <c r="A510" s="3" t="inlineStr">
        <is>
          <t>연서면 와촌리 1119-2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600</v>
      </c>
      <c r="H510" s="4" t="n">
        <v>3250</v>
      </c>
      <c r="I510" s="4" t="n">
        <v>983</v>
      </c>
      <c r="J510" s="5" t="n">
        <v>0.6</v>
      </c>
      <c r="K510" s="4" t="n">
        <v>1552</v>
      </c>
      <c r="L510" s="4" t="n">
        <v>469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사진有 공장 임대</t>
        </is>
      </c>
      <c r="Q510" s="6">
        <f>HYPERLINK("https://fin.land.naver.com/articles/2653032582", "매물Link")</f>
        <v/>
      </c>
      <c r="R510" s="6">
        <f>HYPERLINK("https://map.naver.com/p/search/연서면 와촌리 1119-2", "지도Link")</f>
        <v/>
      </c>
      <c r="S510" s="6">
        <f>HYPERLINK("http://www.eum.go.kr/web/ar/lu/luLandDet.jsp?pnu=3611036031111190002&amp;isNoScr=script&amp;mode=search",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79.7</v>
      </c>
      <c r="W510" s="4" t="n">
        <v>3250</v>
      </c>
      <c r="X510" s="3" t="inlineStr">
        <is>
          <t>C동</t>
        </is>
      </c>
      <c r="Y510" s="7" t="inlineStr">
        <is>
          <t>2층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1996-12</t>
        </is>
      </c>
      <c r="AD510" s="3" t="inlineStr">
        <is>
          <t>세로한면(가)</t>
        </is>
      </c>
    </row>
    <row r="511">
      <c r="A511" s="3" t="inlineStr">
        <is>
          <t>연서면 와촌리 1119-2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5000</v>
      </c>
      <c r="G511" s="4" t="n">
        <v>600</v>
      </c>
      <c r="H511" s="4" t="n">
        <v>3250</v>
      </c>
      <c r="I511" s="4" t="n">
        <v>983</v>
      </c>
      <c r="J511" s="5" t="n">
        <v>0.6</v>
      </c>
      <c r="K511" s="4" t="n">
        <v>1552</v>
      </c>
      <c r="L511" s="4" t="n">
        <v>469</v>
      </c>
      <c r="M511" s="5" t="n">
        <v>1.3</v>
      </c>
      <c r="N511" s="3" t="inlineStr">
        <is>
          <t>2</t>
        </is>
      </c>
      <c r="O511" s="3" t="inlineStr">
        <is>
          <t>-</t>
        </is>
      </c>
      <c r="P511" s="3" t="inlineStr">
        <is>
          <t>호이스트, 사무동, 기숙사 있는 대형공장 아주 아주 저렴한 임대</t>
        </is>
      </c>
      <c r="Q511" s="6">
        <f>HYPERLINK("https://fin.land.naver.com/articles/2651531957", "매물Link")</f>
        <v/>
      </c>
      <c r="R511" s="6">
        <f>HYPERLINK("https://map.naver.com/p/search/연서면 와촌리 1119-2", "지도Link")</f>
        <v/>
      </c>
      <c r="S511" s="6">
        <f>HYPERLINK("http://www.eum.go.kr/web/ar/lu/luLandDet.jsp?pnu=3611036031111190002&amp;isNoScr=script&amp;mode=search", "토지이음")</f>
        <v/>
      </c>
      <c r="T511" s="3" t="inlineStr">
        <is>
          <t>더오름</t>
        </is>
      </c>
      <c r="U511" s="4" t="n">
        <v>1</v>
      </c>
      <c r="V511" s="5" t="n">
        <v>79.7</v>
      </c>
      <c r="W511" s="4" t="n">
        <v>3250</v>
      </c>
      <c r="X511" s="3" t="inlineStr">
        <is>
          <t>C동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1996-12</t>
        </is>
      </c>
      <c r="AD511" s="3" t="inlineStr">
        <is>
          <t>세로한면(가)</t>
        </is>
      </c>
    </row>
    <row r="512">
      <c r="A512" s="3" t="inlineStr">
        <is>
          <t>연서면 와촌리 852-5</t>
        </is>
      </c>
      <c r="B512" s="3" t="inlineStr">
        <is>
          <t>계획관리지역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150</v>
      </c>
      <c r="H512" s="4" t="n">
        <v>928</v>
      </c>
      <c r="I512" s="4" t="n">
        <v>281</v>
      </c>
      <c r="J512" s="5" t="n">
        <v>0.5</v>
      </c>
      <c r="K512" s="4" t="n">
        <v>485</v>
      </c>
      <c r="L512" s="4" t="n">
        <v>147</v>
      </c>
      <c r="M512" s="5" t="n">
        <v>1</v>
      </c>
      <c r="N512" s="3" t="inlineStr">
        <is>
          <t>1</t>
        </is>
      </c>
      <c r="O512" s="3" t="inlineStr">
        <is>
          <t>-</t>
        </is>
      </c>
      <c r="P512" s="3" t="inlineStr">
        <is>
          <t>와촌리 창고임대 세종 초근접</t>
        </is>
      </c>
      <c r="Q512" s="6">
        <f>HYPERLINK("https://fin.land.naver.com/articles/2652499113", "매물Link")</f>
        <v/>
      </c>
      <c r="R512" s="6">
        <f>HYPERLINK("https://map.naver.com/p/search/연서면 와촌리 852-5", "지도Link")</f>
        <v/>
      </c>
      <c r="S512" s="6">
        <f>HYPERLINK("http://www.eum.go.kr/web/ar/lu/luLandDet.jsp?pnu=3611036031108520005&amp;isNoScr=script&amp;mode=search", "토지이음")</f>
        <v/>
      </c>
      <c r="T512" s="3" t="inlineStr">
        <is>
          <t>엄지척</t>
        </is>
      </c>
      <c r="U512" s="4" t="n">
        <v>1</v>
      </c>
      <c r="V512" s="5" t="n">
        <v>82.59999999999999</v>
      </c>
      <c r="W512" s="4" t="n">
        <v>932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제1종근생</t>
        </is>
      </c>
      <c r="AB512" s="3" t="inlineStr">
        <is>
          <t>6.15m</t>
        </is>
      </c>
      <c r="AC512" s="3" t="inlineStr">
        <is>
          <t>1997-05</t>
        </is>
      </c>
      <c r="AD512" s="3" t="inlineStr">
        <is>
          <t>세로한면(가)</t>
        </is>
      </c>
    </row>
    <row r="513">
      <c r="A513" s="3" t="inlineStr">
        <is>
          <t>연서면 와촌리 852-5</t>
        </is>
      </c>
      <c r="B513" s="3" t="inlineStr">
        <is>
          <t>계획관리지역</t>
        </is>
      </c>
      <c r="C513" s="3" t="inlineStr">
        <is>
          <t>잡종지</t>
        </is>
      </c>
      <c r="D513" s="3" t="inlineStr">
        <is>
          <t>창고</t>
        </is>
      </c>
      <c r="E513" s="3" t="inlineStr">
        <is>
          <t>월세</t>
        </is>
      </c>
      <c r="F513" s="4" t="n">
        <v>3000</v>
      </c>
      <c r="G513" s="4" t="n">
        <v>150</v>
      </c>
      <c r="H513" s="4" t="n">
        <v>932</v>
      </c>
      <c r="I513" s="4" t="n">
        <v>282</v>
      </c>
      <c r="J513" s="5" t="n">
        <v>0.5</v>
      </c>
      <c r="K513" s="4" t="n">
        <v>488</v>
      </c>
      <c r="L513" s="4" t="n">
        <v>148</v>
      </c>
      <c r="M513" s="5" t="n">
        <v>1</v>
      </c>
      <c r="N513" s="3" t="inlineStr">
        <is>
          <t>1</t>
        </is>
      </c>
      <c r="O513" s="3" t="inlineStr">
        <is>
          <t>-</t>
        </is>
      </c>
      <c r="P513" s="3" t="inlineStr">
        <is>
          <t>nan</t>
        </is>
      </c>
      <c r="Q513" s="6">
        <f>HYPERLINK("https://fin.land.naver.com/articles/2652467109", "매물Link")</f>
        <v/>
      </c>
      <c r="R513" s="6">
        <f>HYPERLINK("https://map.naver.com/p/search/연서면 와촌리 852-5", "지도Link")</f>
        <v/>
      </c>
      <c r="S513" s="6">
        <f>HYPERLINK("http://www.eum.go.kr/web/ar/lu/luLandDet.jsp?pnu=3611036031108520005&amp;isNoScr=script&amp;mode=search", "토지이음")</f>
        <v/>
      </c>
      <c r="T513" s="3" t="inlineStr">
        <is>
          <t>지성</t>
        </is>
      </c>
      <c r="U513" s="4" t="n">
        <v>1</v>
      </c>
      <c r="V513" s="5" t="n">
        <v>82.59999999999999</v>
      </c>
      <c r="W513" s="4" t="n">
        <v>932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제1종근생</t>
        </is>
      </c>
      <c r="AB513" s="3" t="inlineStr">
        <is>
          <t>6.15m</t>
        </is>
      </c>
      <c r="AC513" s="3" t="inlineStr">
        <is>
          <t>1997-05</t>
        </is>
      </c>
      <c r="AD513" s="3" t="inlineStr">
        <is>
          <t>세로한면(가)</t>
        </is>
      </c>
    </row>
    <row r="514">
      <c r="A514" s="3" t="inlineStr">
        <is>
          <t>연서면 와촌리 852-5</t>
        </is>
      </c>
      <c r="B514" s="3" t="inlineStr">
        <is>
          <t>계획관리지역</t>
        </is>
      </c>
      <c r="C514" s="3" t="inlineStr">
        <is>
          <t>잡종지</t>
        </is>
      </c>
      <c r="D514" s="3" t="inlineStr">
        <is>
          <t>창고</t>
        </is>
      </c>
      <c r="E514" s="3" t="inlineStr">
        <is>
          <t>월세</t>
        </is>
      </c>
      <c r="F514" s="4" t="n">
        <v>3000</v>
      </c>
      <c r="G514" s="4" t="n">
        <v>150</v>
      </c>
      <c r="H514" s="4" t="n">
        <v>932</v>
      </c>
      <c r="I514" s="4" t="n">
        <v>282</v>
      </c>
      <c r="J514" s="5" t="n">
        <v>0.5</v>
      </c>
      <c r="K514" s="4" t="n">
        <v>488</v>
      </c>
      <c r="L514" s="4" t="n">
        <v>148</v>
      </c>
      <c r="M514" s="5" t="n">
        <v>1</v>
      </c>
      <c r="N514" s="3" t="inlineStr">
        <is>
          <t>1</t>
        </is>
      </c>
      <c r="O514" s="3" t="inlineStr">
        <is>
          <t>-</t>
        </is>
      </c>
      <c r="P514" s="3" t="inlineStr">
        <is>
          <t>와촌리 창고월세,차량 진출입편리,창고내 지게차작업가능,주차편리,조율가능</t>
        </is>
      </c>
      <c r="Q514" s="6">
        <f>HYPERLINK("https://fin.land.naver.com/articles/2653116072", "매물Link")</f>
        <v/>
      </c>
      <c r="R514" s="6">
        <f>HYPERLINK("https://map.naver.com/p/search/연서면 와촌리 852-5", "지도Link")</f>
        <v/>
      </c>
      <c r="S514" s="6">
        <f>HYPERLINK("http://www.eum.go.kr/web/ar/lu/luLandDet.jsp?pnu=3611036031108520005&amp;isNoScr=script&amp;mode=search", "토지이음")</f>
        <v/>
      </c>
      <c r="T514" s="3" t="inlineStr">
        <is>
          <t>도안우미린사랑</t>
        </is>
      </c>
      <c r="U514" s="4" t="n">
        <v>1</v>
      </c>
      <c r="V514" s="5" t="n">
        <v>82.59999999999999</v>
      </c>
      <c r="W514" s="4" t="n">
        <v>932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제1종근생</t>
        </is>
      </c>
      <c r="AB514" s="3" t="inlineStr">
        <is>
          <t>6.15m</t>
        </is>
      </c>
      <c r="AC514" s="3" t="inlineStr">
        <is>
          <t>1997-05</t>
        </is>
      </c>
      <c r="AD514" s="3" t="inlineStr">
        <is>
          <t>세로한면(가)</t>
        </is>
      </c>
    </row>
    <row r="515">
      <c r="A515" s="3" t="inlineStr">
        <is>
          <t>연서면 월하리 902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10000</v>
      </c>
      <c r="G515" s="4" t="n">
        <v>450</v>
      </c>
      <c r="H515" s="4" t="n">
        <v>3224</v>
      </c>
      <c r="I515" s="4" t="n">
        <v>975</v>
      </c>
      <c r="J515" s="5" t="n">
        <v>0.5</v>
      </c>
      <c r="K515" s="4" t="n">
        <v>594</v>
      </c>
      <c r="L515" s="4" t="n">
        <v>180</v>
      </c>
      <c r="M515" s="5" t="n">
        <v>2.5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세종신도심, 조치원, 오송 접근성 좋은 2차선도로변 준신축 창고임대</t>
        </is>
      </c>
      <c r="Q515" s="6">
        <f>HYPERLINK("https://fin.land.naver.com/articles/2654666248", "매물Link")</f>
        <v/>
      </c>
      <c r="R515" s="6">
        <f>HYPERLINK("https://map.naver.com/p/search/연서면 월하리 902", "지도Link")</f>
        <v/>
      </c>
      <c r="S515" s="6">
        <f>HYPERLINK("http://www.eum.go.kr/web/ar/lu/luLandDet.jsp?pnu=3611036021109020000&amp;isNoScr=script&amp;mode=search",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156.1</v>
      </c>
      <c r="W515" s="4" t="n">
        <v>3244</v>
      </c>
      <c r="X515" s="3" t="inlineStr">
        <is>
          <t>주건축물제2동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7.0m</t>
        </is>
      </c>
      <c r="AC515" s="3" t="inlineStr">
        <is>
          <t>2022-04</t>
        </is>
      </c>
      <c r="AD515" s="3" t="inlineStr">
        <is>
          <t>소로한면</t>
        </is>
      </c>
    </row>
    <row r="516">
      <c r="A516" s="3" t="inlineStr">
        <is>
          <t>연서면 월하리 902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4000</v>
      </c>
      <c r="G516" s="4" t="n">
        <v>180</v>
      </c>
      <c r="H516" s="4" t="n">
        <v>3244</v>
      </c>
      <c r="I516" s="4" t="n">
        <v>981</v>
      </c>
      <c r="J516" s="5" t="n">
        <v>0.2</v>
      </c>
      <c r="K516" s="4" t="n">
        <v>53</v>
      </c>
      <c r="L516" s="4" t="n">
        <v>16</v>
      </c>
      <c r="M516" s="5" t="n">
        <v>11.2</v>
      </c>
      <c r="N516" s="3" t="inlineStr">
        <is>
          <t>1</t>
        </is>
      </c>
      <c r="O516" s="3" t="inlineStr">
        <is>
          <t>-</t>
        </is>
      </c>
      <c r="P516" s="3" t="inlineStr">
        <is>
          <t>즉시입주 신축 2종근생  활용도 높은 건물임대</t>
        </is>
      </c>
      <c r="Q516" s="6">
        <f>HYPERLINK("https://fin.land.naver.com/articles/2654518316", "매물Link")</f>
        <v/>
      </c>
      <c r="R516" s="6">
        <f>HYPERLINK("https://map.naver.com/p/search/연서면 월하리 902", "지도Link")</f>
        <v/>
      </c>
      <c r="S516" s="6">
        <f>HYPERLINK("http://www.eum.go.kr/web/ar/lu/luLandDet.jsp?pnu=3611036021109020000&amp;isNoScr=script&amp;mode=search",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156.1</v>
      </c>
      <c r="W516" s="4" t="n">
        <v>3244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단독주택</t>
        </is>
      </c>
      <c r="AB516" s="3" t="inlineStr">
        <is>
          <t>4.57m</t>
        </is>
      </c>
      <c r="AC516" s="3" t="inlineStr">
        <is>
          <t>2022-04</t>
        </is>
      </c>
      <c r="AD516" s="3" t="inlineStr">
        <is>
          <t>소로한면</t>
        </is>
      </c>
    </row>
    <row r="517">
      <c r="A517" s="3" t="inlineStr">
        <is>
          <t>연서면 월하리 973-2</t>
        </is>
      </c>
      <c r="B517" s="3" t="inlineStr">
        <is>
          <t>자연녹지지역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80000</v>
      </c>
      <c r="G517" s="4" t="n">
        <v>0</v>
      </c>
      <c r="H517" s="4" t="n">
        <v>644</v>
      </c>
      <c r="I517" s="4" t="n">
        <v>195</v>
      </c>
      <c r="J517" s="5" t="n">
        <v>410.3</v>
      </c>
      <c r="K517" s="4" t="n">
        <v>212</v>
      </c>
      <c r="L517" s="4" t="n">
        <v>64</v>
      </c>
      <c r="M517" s="5" t="n">
        <v>1250</v>
      </c>
      <c r="N517" s="3" t="inlineStr">
        <is>
          <t>2</t>
        </is>
      </c>
      <c r="O517" s="3" t="inlineStr">
        <is>
          <t>-</t>
        </is>
      </c>
      <c r="P517" s="3" t="inlineStr">
        <is>
          <t>연서면 2차선 대로변 바로 인접</t>
        </is>
      </c>
      <c r="Q517" s="6">
        <f>HYPERLINK("https://fin.land.naver.com/articles/2655392220", "매물Link")</f>
        <v/>
      </c>
      <c r="R517" s="6">
        <f>HYPERLINK("https://map.naver.com/p/search/연서면 월하리 973-2", "지도Link")</f>
        <v/>
      </c>
      <c r="S517" s="6">
        <f>HYPERLINK("http://www.eum.go.kr/web/ar/lu/luLandDet.jsp?pnu=3611036021109730002&amp;isNoScr=script&amp;mode=search", "토지이음")</f>
        <v/>
      </c>
      <c r="T517" s="3" t="inlineStr">
        <is>
          <t>KB세종</t>
        </is>
      </c>
      <c r="U517" s="4" t="n">
        <v>1</v>
      </c>
      <c r="V517" s="5" t="n">
        <v>158.3</v>
      </c>
      <c r="W517" s="4" t="n">
        <v>644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8.94m</t>
        </is>
      </c>
      <c r="AC517" s="3" t="inlineStr">
        <is>
          <t>2003-05</t>
        </is>
      </c>
      <c r="AD517" s="3" t="inlineStr">
        <is>
          <t>세로한면(가)</t>
        </is>
      </c>
    </row>
    <row r="518">
      <c r="A518" s="3" t="inlineStr">
        <is>
          <t>오송읍 공북리 271-4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1000</v>
      </c>
      <c r="G518" s="4" t="n">
        <v>150</v>
      </c>
      <c r="H518" s="4" t="n">
        <v>660</v>
      </c>
      <c r="I518" s="4" t="n">
        <v>200</v>
      </c>
      <c r="J518" s="5" t="n">
        <v>0.8</v>
      </c>
      <c r="K518" s="4" t="n">
        <v>330</v>
      </c>
      <c r="L518" s="4" t="n">
        <v>100</v>
      </c>
      <c r="M518" s="5" t="n">
        <v>1.5</v>
      </c>
      <c r="N518" s="3" t="inlineStr">
        <is>
          <t>1</t>
        </is>
      </c>
      <c r="O518" s="3" t="inlineStr">
        <is>
          <t>B1</t>
        </is>
      </c>
      <c r="P518" s="3" t="inlineStr">
        <is>
          <t>층고 높고 넓은 창고전용,2차선도로옆</t>
        </is>
      </c>
      <c r="Q518" s="6">
        <f>HYPERLINK("https://fin.land.naver.com/articles/2652903125", "매물Link")</f>
        <v/>
      </c>
      <c r="R518" s="6">
        <f>HYPERLINK("https://map.naver.com/p/search/오송읍 공북리 271-4", "지도Link")</f>
        <v/>
      </c>
      <c r="S518" s="6">
        <f>HYPERLINK("http://www.eum.go.kr/web/ar/lu/luLandDet.jsp?pnu=4311325023102710004&amp;isNoScr=script&amp;mode=search", "토지이음")</f>
        <v/>
      </c>
      <c r="T518" s="3" t="inlineStr">
        <is>
          <t>오송올래</t>
        </is>
      </c>
      <c r="U518" s="4" t="n">
        <v>2</v>
      </c>
      <c r="V518" s="5" t="n">
        <v>77</v>
      </c>
      <c r="W518" s="4" t="n">
        <v>660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창고시설</t>
        </is>
      </c>
      <c r="AB518" s="3" t="inlineStr">
        <is>
          <t>-</t>
        </is>
      </c>
      <c r="AC518" s="3" t="inlineStr">
        <is>
          <t>1979</t>
        </is>
      </c>
      <c r="AD518" s="3" t="inlineStr">
        <is>
          <t>세로한면(가)</t>
        </is>
      </c>
    </row>
    <row r="519">
      <c r="A519" s="3" t="inlineStr">
        <is>
          <t>오송읍 공북리 271-4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월세</t>
        </is>
      </c>
      <c r="F519" s="4" t="n">
        <v>1000</v>
      </c>
      <c r="G519" s="4" t="n">
        <v>150</v>
      </c>
      <c r="H519" s="4" t="n">
        <v>660</v>
      </c>
      <c r="I519" s="4" t="n">
        <v>200</v>
      </c>
      <c r="J519" s="5" t="n">
        <v>0.8</v>
      </c>
      <c r="K519" s="4" t="n">
        <v>330</v>
      </c>
      <c r="L519" s="4" t="n">
        <v>100</v>
      </c>
      <c r="M519" s="5" t="n">
        <v>1.5</v>
      </c>
      <c r="N519" s="3" t="inlineStr">
        <is>
          <t>1</t>
        </is>
      </c>
      <c r="O519" s="3" t="inlineStr">
        <is>
          <t>-</t>
        </is>
      </c>
      <c r="P519" s="3" t="inlineStr">
        <is>
          <t>저렴한 금액으로 대형 창고를 사용할수 있는 기회를 잡으세요</t>
        </is>
      </c>
      <c r="Q519" s="6">
        <f>HYPERLINK("https://fin.land.naver.com/articles/2651108355", "매물Link")</f>
        <v/>
      </c>
      <c r="R519" s="6">
        <f>HYPERLINK("https://map.naver.com/p/search/오송읍 공북리 271-4", "지도Link")</f>
        <v/>
      </c>
      <c r="S519" s="6">
        <f>HYPERLINK("http://www.eum.go.kr/web/ar/lu/luLandDet.jsp?pnu=4311325023102710004&amp;isNoScr=script&amp;mode=search", "토지이음")</f>
        <v/>
      </c>
      <c r="T519" s="3" t="inlineStr">
        <is>
          <t>오송2단지창조</t>
        </is>
      </c>
      <c r="U519" s="4" t="n">
        <v>1</v>
      </c>
      <c r="V519" s="5" t="n">
        <v>77</v>
      </c>
      <c r="W519" s="4" t="n">
        <v>660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창고시설</t>
        </is>
      </c>
      <c r="AB519" s="3" t="inlineStr">
        <is>
          <t>-</t>
        </is>
      </c>
      <c r="AC519" s="3" t="inlineStr">
        <is>
          <t>1979</t>
        </is>
      </c>
      <c r="AD519" s="3" t="inlineStr">
        <is>
          <t>세로한면(가)</t>
        </is>
      </c>
    </row>
    <row r="520">
      <c r="A520" s="3" t="inlineStr">
        <is>
          <t>오송읍 궁평리 308-4</t>
        </is>
      </c>
      <c r="B520" s="3" t="inlineStr">
        <is>
          <t>농림지역</t>
        </is>
      </c>
      <c r="C520" s="3" t="inlineStr">
        <is>
          <t>창고용지</t>
        </is>
      </c>
      <c r="D520" s="3" t="inlineStr">
        <is>
          <t>창고</t>
        </is>
      </c>
      <c r="E520" s="3" t="inlineStr">
        <is>
          <t>월세</t>
        </is>
      </c>
      <c r="F520" s="4" t="n">
        <v>2000</v>
      </c>
      <c r="G520" s="4" t="n">
        <v>100</v>
      </c>
      <c r="H520" s="4" t="n">
        <v>506</v>
      </c>
      <c r="I520" s="4" t="n">
        <v>153</v>
      </c>
      <c r="J520" s="5" t="n">
        <v>0.7</v>
      </c>
      <c r="K520" s="4" t="n">
        <v>100</v>
      </c>
      <c r="L520" s="4" t="n">
        <v>30</v>
      </c>
      <c r="M520" s="5" t="n">
        <v>3.3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오송역청주IC 인근 농업용창고 임대  농업용물류용 적합</t>
        </is>
      </c>
      <c r="Q520" s="6">
        <f>HYPERLINK("https://fin.land.naver.com/articles/2651828475", "매물Link")</f>
        <v/>
      </c>
      <c r="R520" s="6">
        <f>HYPERLINK("https://map.naver.com/p/search/오송읍 궁평리 308-4", "지도Link")</f>
        <v/>
      </c>
      <c r="S520" s="6">
        <f>HYPERLINK("http://www.eum.go.kr/web/ar/lu/luLandDet.jsp?pnu=4311325027103080004&amp;isNoScr=script&amp;mode=search", "토지이음")</f>
        <v/>
      </c>
      <c r="T520" s="3" t="inlineStr">
        <is>
          <t>오송시티</t>
        </is>
      </c>
      <c r="U520" s="4" t="n">
        <v>1</v>
      </c>
      <c r="V520" s="5" t="n">
        <v>41.8</v>
      </c>
      <c r="W520" s="4" t="n">
        <v>506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창고시설</t>
        </is>
      </c>
      <c r="AB520" s="3" t="inlineStr">
        <is>
          <t>6.1m</t>
        </is>
      </c>
      <c r="AC520" s="3" t="inlineStr">
        <is>
          <t>2022-12</t>
        </is>
      </c>
      <c r="AD520" s="3" t="inlineStr">
        <is>
          <t>세로한면(가)</t>
        </is>
      </c>
    </row>
    <row r="521">
      <c r="A521" s="3" t="inlineStr">
        <is>
          <t>오송읍 만수리 301-4</t>
        </is>
      </c>
      <c r="B521" s="3" t="inlineStr">
        <is>
          <t>농림지역</t>
        </is>
      </c>
      <c r="C521" s="3" t="inlineStr">
        <is>
          <t>창고용지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2000</v>
      </c>
      <c r="G521" s="4" t="n">
        <v>150</v>
      </c>
      <c r="H521" s="4" t="n">
        <v>733</v>
      </c>
      <c r="I521" s="4" t="n">
        <v>222</v>
      </c>
      <c r="J521" s="5" t="n">
        <v>0.7</v>
      </c>
      <c r="K521" s="4" t="n">
        <v>160</v>
      </c>
      <c r="L521" s="4" t="n">
        <v>48</v>
      </c>
      <c r="M521" s="5" t="n">
        <v>3.1</v>
      </c>
      <c r="N521" s="3" t="inlineStr">
        <is>
          <t>1</t>
        </is>
      </c>
      <c r="O521" s="3" t="inlineStr">
        <is>
          <t>-</t>
        </is>
      </c>
      <c r="P521" s="3" t="inlineStr">
        <is>
          <t>대형 차량 진출입 가능하며,마당에 적재 가능한 창고,즉시사용가능</t>
        </is>
      </c>
      <c r="Q521" s="6">
        <f>HYPERLINK("https://fin.land.naver.com/articles/2654522835", "매물Link")</f>
        <v/>
      </c>
      <c r="R521" s="6">
        <f>HYPERLINK("https://map.naver.com/p/search/오송읍 만수리 301-4", "지도Link")</f>
        <v/>
      </c>
      <c r="S521" s="6">
        <f>HYPERLINK("http://www.eum.go.kr/web/ar/lu/luLandDet.jsp?pnu=4311325025103010004&amp;isNoScr=script&amp;mode=search", "토지이음")</f>
        <v/>
      </c>
      <c r="T521" s="3" t="inlineStr">
        <is>
          <t>오송2단지창조</t>
        </is>
      </c>
      <c r="U521" s="4" t="n">
        <v>1</v>
      </c>
      <c r="V521" s="5" t="n">
        <v>113.4</v>
      </c>
      <c r="W521" s="4" t="n">
        <v>733</v>
      </c>
      <c r="X521" s="3" t="inlineStr">
        <is>
          <t>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창고시설</t>
        </is>
      </c>
      <c r="AB521" s="3" t="inlineStr">
        <is>
          <t>5.0m</t>
        </is>
      </c>
      <c r="AC521" s="3" t="inlineStr">
        <is>
          <t>2005-12</t>
        </is>
      </c>
      <c r="AD521" s="3" t="inlineStr">
        <is>
          <t>소로각지</t>
        </is>
      </c>
    </row>
    <row r="522">
      <c r="A522" s="3" t="inlineStr">
        <is>
          <t>오송읍 쌍청리 108-11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140000</v>
      </c>
      <c r="G522" s="4" t="n">
        <v>0</v>
      </c>
      <c r="H522" s="4" t="n">
        <v>2382</v>
      </c>
      <c r="I522" s="4" t="n">
        <v>721</v>
      </c>
      <c r="J522" s="5" t="n">
        <v>194.2</v>
      </c>
      <c r="K522" s="4" t="n">
        <v>696</v>
      </c>
      <c r="L522" s="4" t="n">
        <v>211</v>
      </c>
      <c r="M522" s="5" t="n">
        <v>663.5</v>
      </c>
      <c r="N522" s="3" t="inlineStr">
        <is>
          <t>1</t>
        </is>
      </c>
      <c r="O522" s="3" t="inlineStr">
        <is>
          <t>B1</t>
        </is>
      </c>
      <c r="P522" s="3" t="inlineStr">
        <is>
          <t>진입로6미터도로.주택,빌라,연립주택적합,투자적지</t>
        </is>
      </c>
      <c r="Q522" s="6">
        <f>HYPERLINK("https://fin.land.naver.com/articles/2655122271", "매물Link")</f>
        <v/>
      </c>
      <c r="R522" s="6">
        <f>HYPERLINK("https://map.naver.com/p/search/오송읍 쌍청리 108-11", "지도Link")</f>
        <v/>
      </c>
      <c r="S522" s="6">
        <f>HYPERLINK("http://www.eum.go.kr/web/ar/lu/luLandDet.jsp?pnu=4311325024101080011&amp;isNoScr=script&amp;mode=search", "토지이음")</f>
        <v/>
      </c>
      <c r="T522" s="3" t="inlineStr">
        <is>
          <t>이박사</t>
        </is>
      </c>
      <c r="U522" s="4" t="n">
        <v>1</v>
      </c>
      <c r="V522" s="5" t="n">
        <v>70.09999999999999</v>
      </c>
      <c r="W522" s="4" t="n">
        <v>68</v>
      </c>
      <c r="X522" s="3" t="inlineStr">
        <is>
          <t>대장없음</t>
        </is>
      </c>
      <c r="Y522" s="7" t="inlineStr">
        <is>
          <t>대장없음</t>
        </is>
      </c>
      <c r="Z522" s="3" t="inlineStr">
        <is>
          <t>대장없음</t>
        </is>
      </c>
      <c r="AA522" s="3" t="inlineStr">
        <is>
          <t>대장없음</t>
        </is>
      </c>
      <c r="AB522" s="3" t="inlineStr">
        <is>
          <t>대장없음</t>
        </is>
      </c>
      <c r="AC522" s="3" t="inlineStr">
        <is>
          <t>대장없음</t>
        </is>
      </c>
      <c r="AD522" s="3" t="inlineStr">
        <is>
          <t>세로한면(가)</t>
        </is>
      </c>
    </row>
    <row r="523">
      <c r="A523" s="3" t="inlineStr">
        <is>
          <t>오송읍 쌍청리 131-6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공장</t>
        </is>
      </c>
      <c r="E523" s="3" t="inlineStr">
        <is>
          <t>매매</t>
        </is>
      </c>
      <c r="F523" s="4" t="n">
        <v>129600</v>
      </c>
      <c r="G523" s="4" t="n">
        <v>0</v>
      </c>
      <c r="H523" s="4" t="n">
        <v>2382</v>
      </c>
      <c r="I523" s="4" t="n">
        <v>721</v>
      </c>
      <c r="J523" s="5" t="n">
        <v>179.8</v>
      </c>
      <c r="K523" s="4" t="n">
        <v>7301</v>
      </c>
      <c r="L523" s="4" t="n">
        <v>2209</v>
      </c>
      <c r="M523" s="5" t="n">
        <v>58.7</v>
      </c>
      <c r="N523" s="3" t="inlineStr">
        <is>
          <t>1</t>
        </is>
      </c>
      <c r="O523" s="3" t="inlineStr">
        <is>
          <t>-</t>
        </is>
      </c>
      <c r="P523" s="3" t="inlineStr">
        <is>
          <t>오송 쌍청리 폐 공장 매매</t>
        </is>
      </c>
      <c r="Q523" s="6">
        <f>HYPERLINK("https://fin.land.naver.com/articles/2652510813", "매물Link")</f>
        <v/>
      </c>
      <c r="R523" s="6">
        <f>HYPERLINK("https://map.naver.com/p/search/오송읍 쌍청리 131-6", "지도Link")</f>
        <v/>
      </c>
      <c r="S523" s="6">
        <f>HYPERLINK("http://www.eum.go.kr/web/ar/lu/luLandDet.jsp?pnu=4311325024101310006&amp;isNoScr=script&amp;mode=search", "토지이음")</f>
        <v/>
      </c>
      <c r="T523" s="3" t="inlineStr">
        <is>
          <t>365</t>
        </is>
      </c>
      <c r="U523" s="4" t="n">
        <v>1</v>
      </c>
      <c r="V523" s="5" t="n">
        <v>70.09999999999999</v>
      </c>
      <c r="W523" s="4" t="n">
        <v>1458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벽돌구조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1991-05</t>
        </is>
      </c>
      <c r="AD523" s="3" t="inlineStr">
        <is>
          <t>세로한면(가)</t>
        </is>
      </c>
    </row>
    <row r="524">
      <c r="A524" s="3" t="inlineStr">
        <is>
          <t>오송읍 연제리 610-1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199000</v>
      </c>
      <c r="G524" s="4" t="n">
        <v>0</v>
      </c>
      <c r="H524" s="4" t="n">
        <v>2307</v>
      </c>
      <c r="I524" s="4" t="n">
        <v>698</v>
      </c>
      <c r="J524" s="5" t="n">
        <v>285.1</v>
      </c>
      <c r="K524" s="4" t="n">
        <v>410</v>
      </c>
      <c r="L524" s="4" t="n">
        <v>124</v>
      </c>
      <c r="M524" s="5" t="n">
        <v>1604.8</v>
      </c>
      <c r="N524" s="3" t="inlineStr">
        <is>
          <t>1</t>
        </is>
      </c>
      <c r="O524" s="3" t="inlineStr">
        <is>
          <t>-</t>
        </is>
      </c>
      <c r="P524" s="3" t="inlineStr">
        <is>
          <t>오송제1생명과학단지내 저렴한 공장 급매</t>
        </is>
      </c>
      <c r="Q524" s="6">
        <f>HYPERLINK("https://fin.land.naver.com/articles/2654665741", "매물Link")</f>
        <v/>
      </c>
      <c r="R524" s="6">
        <f>HYPERLINK("https://map.naver.com/p/search/오송읍 연제리 610-1", "지도Link")</f>
        <v/>
      </c>
      <c r="S524" s="6">
        <f>HYPERLINK("http://www.eum.go.kr/web/ar/lu/luLandDet.jsp?pnu=4311325026106100001&amp;isNoScr=script&amp;mode=search", "토지이음")</f>
        <v/>
      </c>
      <c r="T524" s="3" t="inlineStr">
        <is>
          <t>청담</t>
        </is>
      </c>
      <c r="U524" s="4" t="n">
        <v>2</v>
      </c>
      <c r="V524" s="5" t="n">
        <v>70.3</v>
      </c>
      <c r="W524" s="4" t="n">
        <v>2307.9</v>
      </c>
      <c r="X524" s="3" t="inlineStr">
        <is>
          <t>부건축물제1동</t>
        </is>
      </c>
      <c r="Y524" s="7" t="inlineStr">
        <is>
          <t>1층</t>
        </is>
      </c>
      <c r="Z524" s="3" t="inlineStr">
        <is>
          <t>경량철골구조</t>
        </is>
      </c>
      <c r="AA524" s="3" t="inlineStr">
        <is>
          <t>공장</t>
        </is>
      </c>
      <c r="AB524" s="3" t="inlineStr">
        <is>
          <t>5.0m</t>
        </is>
      </c>
      <c r="AC524" s="3" t="inlineStr">
        <is>
          <t>2014-08</t>
        </is>
      </c>
      <c r="AD524" s="3" t="inlineStr">
        <is>
          <t>중로한면</t>
        </is>
      </c>
    </row>
    <row r="525">
      <c r="A525" s="3" t="inlineStr">
        <is>
          <t>오송읍 연제리 610-1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200000</v>
      </c>
      <c r="G525" s="4" t="n">
        <v>0</v>
      </c>
      <c r="H525" s="4" t="n">
        <v>2307</v>
      </c>
      <c r="I525" s="4" t="n">
        <v>698</v>
      </c>
      <c r="J525" s="5" t="n">
        <v>286.5</v>
      </c>
      <c r="K525" s="4" t="n">
        <v>410</v>
      </c>
      <c r="L525" s="4" t="n">
        <v>124</v>
      </c>
      <c r="M525" s="5" t="n">
        <v>1612.9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오송역인근 산업단지의 층고 10m. 증축 가능한 야드 넓은 공장매매</t>
        </is>
      </c>
      <c r="Q525" s="6">
        <f>HYPERLINK("https://fin.land.naver.com/articles/2652356580", "매물Link")</f>
        <v/>
      </c>
      <c r="R525" s="6">
        <f>HYPERLINK("https://map.naver.com/p/search/오송읍 연제리 610-1", "지도Link")</f>
        <v/>
      </c>
      <c r="S525" s="6">
        <f>HYPERLINK("http://www.eum.go.kr/web/ar/lu/luLandDet.jsp?pnu=4311325026106100001&amp;isNoScr=script&amp;mode=search",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70.3</v>
      </c>
      <c r="W525" s="4" t="n">
        <v>2307.9</v>
      </c>
      <c r="X525" s="3" t="inlineStr">
        <is>
          <t>부건축물제1동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공장</t>
        </is>
      </c>
      <c r="AB525" s="3" t="inlineStr">
        <is>
          <t>5.0m</t>
        </is>
      </c>
      <c r="AC525" s="3" t="inlineStr">
        <is>
          <t>2014-08</t>
        </is>
      </c>
      <c r="AD525" s="3" t="inlineStr">
        <is>
          <t>중로한면</t>
        </is>
      </c>
    </row>
    <row r="526">
      <c r="A526" s="3" t="inlineStr">
        <is>
          <t>오송읍 연제리 610-2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550000</v>
      </c>
      <c r="G526" s="4" t="n">
        <v>0</v>
      </c>
      <c r="H526" s="4" t="n">
        <v>6481</v>
      </c>
      <c r="I526" s="4" t="n">
        <v>1961</v>
      </c>
      <c r="J526" s="5" t="n">
        <v>280.5</v>
      </c>
      <c r="K526" s="4" t="n">
        <v>996</v>
      </c>
      <c r="L526" s="4" t="n">
        <v>301</v>
      </c>
      <c r="M526" s="5" t="n">
        <v>1827.2</v>
      </c>
      <c r="N526" s="3" t="inlineStr">
        <is>
          <t>1</t>
        </is>
      </c>
      <c r="O526" s="3" t="inlineStr">
        <is>
          <t>-</t>
        </is>
      </c>
      <c r="P526" s="3" t="inlineStr">
        <is>
          <t>옥산IC인근, 화학코드, 화장품, 바이오, 첨단업종 가능, 야드 넓음</t>
        </is>
      </c>
      <c r="Q526" s="6">
        <f>HYPERLINK("https://fin.land.naver.com/articles/2654968959", "매물Link")</f>
        <v/>
      </c>
      <c r="R526" s="6">
        <f>HYPERLINK("https://map.naver.com/p/search/오송읍 연제리 610-2", "지도Link")</f>
        <v/>
      </c>
      <c r="S526" s="6">
        <f>HYPERLINK("http://www.eum.go.kr/web/ar/lu/luLandDet.jsp?pnu=4311325026106100002&amp;isNoScr=script&amp;mode=search", "토지이음")</f>
        <v/>
      </c>
      <c r="T526" s="3" t="inlineStr">
        <is>
          <t>(주)미르</t>
        </is>
      </c>
      <c r="U526" s="4" t="n">
        <v>1</v>
      </c>
      <c r="V526" s="5" t="n">
        <v>70.40000000000001</v>
      </c>
      <c r="W526" s="4" t="n">
        <v>2165.9</v>
      </c>
      <c r="X526" s="3" t="inlineStr">
        <is>
          <t>2동</t>
        </is>
      </c>
      <c r="Y526" s="7" t="inlineStr">
        <is>
          <t>1층</t>
        </is>
      </c>
      <c r="Z526" s="3" t="inlineStr">
        <is>
          <t>강파이프구조</t>
        </is>
      </c>
      <c r="AA526" s="3" t="inlineStr">
        <is>
          <t>공장</t>
        </is>
      </c>
      <c r="AB526" s="3" t="inlineStr">
        <is>
          <t>5.95m</t>
        </is>
      </c>
      <c r="AC526" s="3" t="inlineStr">
        <is>
          <t>2022-12</t>
        </is>
      </c>
      <c r="AD526" s="3" t="inlineStr">
        <is>
          <t>중로각지</t>
        </is>
      </c>
    </row>
    <row r="527">
      <c r="A527" s="3" t="inlineStr">
        <is>
          <t>오송읍 오송리 242-18</t>
        </is>
      </c>
      <c r="B527" s="3" t="inlineStr">
        <is>
          <t>계획관리지역</t>
        </is>
      </c>
      <c r="C527" s="3" t="inlineStr">
        <is>
          <t>창고용지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10000</v>
      </c>
      <c r="G527" s="4" t="n">
        <v>1500</v>
      </c>
      <c r="H527" s="4" t="n">
        <v>1807</v>
      </c>
      <c r="I527" s="4" t="n">
        <v>547</v>
      </c>
      <c r="J527" s="5" t="n">
        <v>2.7</v>
      </c>
      <c r="K527" s="4" t="n">
        <v>825</v>
      </c>
      <c r="L527" s="4" t="n">
        <v>250</v>
      </c>
      <c r="M527" s="5" t="n">
        <v>6</v>
      </c>
      <c r="N527" s="3" t="inlineStr">
        <is>
          <t>2</t>
        </is>
      </c>
      <c r="O527" s="3" t="inlineStr">
        <is>
          <t>-</t>
        </is>
      </c>
      <c r="P527" s="3" t="inlineStr">
        <is>
          <t>건물1층206형 2층 44형 대지1180형 택배하던자리</t>
        </is>
      </c>
      <c r="Q527" s="6">
        <f>HYPERLINK("https://fin.land.naver.com/articles/2655369344", "매물Link")</f>
        <v/>
      </c>
      <c r="R527" s="6">
        <f>HYPERLINK("https://map.naver.com/p/search/오송읍 오송리 242-18", "지도Link")</f>
        <v/>
      </c>
      <c r="S527" s="6">
        <f>HYPERLINK("http://www.eum.go.kr/web/ar/lu/luLandDet.jsp?pnu=4311325028102420018&amp;isNoScr=script&amp;mode=search", "토지이음")</f>
        <v/>
      </c>
      <c r="T527" s="3" t="inlineStr">
        <is>
          <t>위더스</t>
        </is>
      </c>
      <c r="U527" s="4" t="n">
        <v>1</v>
      </c>
      <c r="V527" s="5" t="n">
        <v>129.4</v>
      </c>
      <c r="W527" s="4" t="n">
        <v>1807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9.2m</t>
        </is>
      </c>
      <c r="AC527" s="3" t="inlineStr">
        <is>
          <t>2013-08</t>
        </is>
      </c>
      <c r="AD527" s="3" t="inlineStr">
        <is>
          <t>세로한면(가)</t>
        </is>
      </c>
    </row>
    <row r="528">
      <c r="A528" s="3" t="inlineStr">
        <is>
          <t>오송읍 오송리 242-18</t>
        </is>
      </c>
      <c r="B528" s="3" t="inlineStr">
        <is>
          <t>계획관리지역</t>
        </is>
      </c>
      <c r="C528" s="3" t="inlineStr">
        <is>
          <t>창고용지</t>
        </is>
      </c>
      <c r="D528" s="3" t="inlineStr">
        <is>
          <t>창고</t>
        </is>
      </c>
      <c r="E528" s="3" t="inlineStr">
        <is>
          <t>월세</t>
        </is>
      </c>
      <c r="F528" s="4" t="n">
        <v>10000</v>
      </c>
      <c r="G528" s="4" t="n">
        <v>1500</v>
      </c>
      <c r="H528" s="4" t="n">
        <v>3888</v>
      </c>
      <c r="I528" s="4" t="n">
        <v>1176</v>
      </c>
      <c r="J528" s="5" t="n">
        <v>1.3</v>
      </c>
      <c r="K528" s="4" t="n">
        <v>825</v>
      </c>
      <c r="L528" s="4" t="n">
        <v>250</v>
      </c>
      <c r="M528" s="5" t="n">
        <v>6</v>
      </c>
      <c r="N528" s="3" t="inlineStr">
        <is>
          <t>2</t>
        </is>
      </c>
      <c r="O528" s="3" t="inlineStr">
        <is>
          <t>-</t>
        </is>
      </c>
      <c r="P528" s="3" t="inlineStr">
        <is>
          <t>오송생명과학단지 인근 대형 야드 완비된 물류창고 임대</t>
        </is>
      </c>
      <c r="Q528" s="6">
        <f>HYPERLINK("https://fin.land.naver.com/articles/2654666558", "매물Link")</f>
        <v/>
      </c>
      <c r="R528" s="6">
        <f>HYPERLINK("https://map.naver.com/p/search/오송읍 오송리 242-18", "지도Link")</f>
        <v/>
      </c>
      <c r="S528" s="6">
        <f>HYPERLINK("http://www.eum.go.kr/web/ar/lu/luLandDet.jsp?pnu=4311325028102420018&amp;isNoScr=script&amp;mode=search", "토지이음")</f>
        <v/>
      </c>
      <c r="T528" s="3" t="inlineStr">
        <is>
          <t>청담</t>
        </is>
      </c>
      <c r="U528" s="4" t="n">
        <v>1</v>
      </c>
      <c r="V528" s="5" t="n">
        <v>129.4</v>
      </c>
      <c r="W528" s="4" t="n">
        <v>1807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9.2m</t>
        </is>
      </c>
      <c r="AC528" s="3" t="inlineStr">
        <is>
          <t>2013-08</t>
        </is>
      </c>
      <c r="AD528" s="3" t="inlineStr">
        <is>
          <t>세로한면(가)</t>
        </is>
      </c>
    </row>
    <row r="529">
      <c r="A529" s="3" t="inlineStr">
        <is>
          <t>오송읍 오송리 246-45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</v>
      </c>
      <c r="G529" s="4" t="n">
        <v>250</v>
      </c>
      <c r="H529" s="4" t="n">
        <v>1739</v>
      </c>
      <c r="I529" s="4" t="n">
        <v>526</v>
      </c>
      <c r="J529" s="5" t="n">
        <v>0.5</v>
      </c>
      <c r="K529" s="4" t="n">
        <v>440</v>
      </c>
      <c r="L529" s="4" t="n">
        <v>133</v>
      </c>
      <c r="M529" s="5" t="n">
        <v>1.9</v>
      </c>
      <c r="N529" s="3" t="inlineStr">
        <is>
          <t>1</t>
        </is>
      </c>
      <c r="O529" s="3" t="inlineStr">
        <is>
          <t>B1</t>
        </is>
      </c>
      <c r="P529" s="3" t="inlineStr">
        <is>
          <t>공장, 창고 l 교통 편리 l 6개동 일괄 임대</t>
        </is>
      </c>
      <c r="Q529" s="6">
        <f>HYPERLINK("https://fin.land.naver.com/articles/2656271523", "매물Link")</f>
        <v/>
      </c>
      <c r="R529" s="6">
        <f>HYPERLINK("https://map.naver.com/p/search/오송읍 오송리 246-45", "지도Link")</f>
        <v/>
      </c>
      <c r="S529" s="6">
        <f>HYPERLINK("http://www.eum.go.kr/web/ar/lu/luLandDet.jsp?pnu=4311325028102460045&amp;isNoScr=script&amp;mode=search", "토지이음")</f>
        <v/>
      </c>
      <c r="T529" s="3" t="inlineStr">
        <is>
          <t>에이스</t>
        </is>
      </c>
      <c r="U529" s="4" t="n">
        <v>1</v>
      </c>
      <c r="V529" s="5" t="n">
        <v>152.1</v>
      </c>
      <c r="W529" s="4" t="n">
        <v>1739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벽돌구조</t>
        </is>
      </c>
      <c r="AA529" s="3" t="inlineStr">
        <is>
          <t>공장</t>
        </is>
      </c>
      <c r="AB529" s="3" t="inlineStr">
        <is>
          <t>-</t>
        </is>
      </c>
      <c r="AC529" s="3" t="inlineStr">
        <is>
          <t>1980</t>
        </is>
      </c>
      <c r="AD529" s="3" t="inlineStr">
        <is>
          <t>세로한면(가)</t>
        </is>
      </c>
    </row>
    <row r="530">
      <c r="A530" s="3" t="inlineStr">
        <is>
          <t>오송읍 오송리 246-51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180</v>
      </c>
      <c r="H530" s="4" t="n">
        <v>1524</v>
      </c>
      <c r="I530" s="4" t="n">
        <v>461</v>
      </c>
      <c r="J530" s="5" t="n">
        <v>0.4</v>
      </c>
      <c r="K530" s="4" t="n">
        <v>536</v>
      </c>
      <c r="L530" s="4" t="n">
        <v>162</v>
      </c>
      <c r="M530" s="5" t="n">
        <v>1.1</v>
      </c>
      <c r="N530" s="3" t="inlineStr">
        <is>
          <t>1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HYPERLINK("https://fin.land.naver.com/articles/2652689876", "매물Link")</f>
        <v/>
      </c>
      <c r="R530" s="6">
        <f>HYPERLINK("https://map.naver.com/p/search/오송읍 오송리 246-51", "지도Link")</f>
        <v/>
      </c>
      <c r="S530" s="6">
        <f>HYPERLINK("http://www.eum.go.kr/web/ar/lu/luLandDet.jsp?pnu=4311325028102460051&amp;isNoScr=script&amp;mode=search", "토지이음")</f>
        <v/>
      </c>
      <c r="T530" s="3" t="inlineStr">
        <is>
          <t>365</t>
        </is>
      </c>
      <c r="U530" s="4" t="n">
        <v>1</v>
      </c>
      <c r="V530" s="5" t="n">
        <v>163.6</v>
      </c>
      <c r="W530" s="4" t="n">
        <v>1447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블록구조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1981-11</t>
        </is>
      </c>
      <c r="AD530" s="3" t="inlineStr">
        <is>
          <t>세로한면(가)</t>
        </is>
      </c>
    </row>
    <row r="531">
      <c r="A531" s="3" t="inlineStr">
        <is>
          <t>오송읍 오송리 246-71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1000</v>
      </c>
      <c r="G531" s="4" t="n">
        <v>100</v>
      </c>
      <c r="H531" s="4" t="n">
        <v>565</v>
      </c>
      <c r="I531" s="4" t="n">
        <v>171</v>
      </c>
      <c r="J531" s="5" t="n">
        <v>0.6</v>
      </c>
      <c r="K531" s="4" t="n">
        <v>227</v>
      </c>
      <c r="L531" s="4" t="n">
        <v>69</v>
      </c>
      <c r="M531" s="5" t="n">
        <v>1.4</v>
      </c>
      <c r="N531" s="3" t="inlineStr">
        <is>
          <t>1</t>
        </is>
      </c>
      <c r="O531" s="3" t="inlineStr">
        <is>
          <t>-</t>
        </is>
      </c>
      <c r="P531" s="3" t="inlineStr">
        <is>
          <t>창고와 별도 사무실이 있음</t>
        </is>
      </c>
      <c r="Q531" s="6">
        <f>HYPERLINK("https://fin.land.naver.com/articles/2656313207", "매물Link")</f>
        <v/>
      </c>
      <c r="R531" s="6">
        <f>HYPERLINK("https://map.naver.com/p/search/오송읍 오송리 246-71", "지도Link")</f>
        <v/>
      </c>
      <c r="S531" s="6">
        <f>HYPERLINK("http://www.eum.go.kr/web/ar/lu/luLandDet.jsp?pnu=4311325028102460071&amp;isNoScr=script&amp;mode=search", "토지이음")</f>
        <v/>
      </c>
      <c r="T531" s="3" t="inlineStr">
        <is>
          <t>금송</t>
        </is>
      </c>
      <c r="U531" s="4" t="n">
        <v>1</v>
      </c>
      <c r="V531" s="5" t="n">
        <v>152.1</v>
      </c>
      <c r="W531" s="4" t="n">
        <v>320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세로한면(불)</t>
        </is>
      </c>
    </row>
    <row r="532">
      <c r="A532" s="3" t="inlineStr">
        <is>
          <t>오송읍 오송리 63-8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155000</v>
      </c>
      <c r="G532" s="4" t="n">
        <v>0</v>
      </c>
      <c r="H532" s="4" t="n">
        <v>1100</v>
      </c>
      <c r="I532" s="4" t="n">
        <v>333</v>
      </c>
      <c r="J532" s="5" t="n">
        <v>465.5</v>
      </c>
      <c r="K532" s="4" t="n">
        <v>464</v>
      </c>
      <c r="L532" s="4" t="n">
        <v>140</v>
      </c>
      <c r="M532" s="5" t="n">
        <v>1107.1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역세권 위치좋은 창고시설</t>
        </is>
      </c>
      <c r="Q532" s="6">
        <f>HYPERLINK("https://fin.land.naver.com/articles/2655242951", "매물Link")</f>
        <v/>
      </c>
      <c r="R532" s="6">
        <f>HYPERLINK("https://map.naver.com/p/search/오송읍 오송리 63-8", "지도Link")</f>
        <v/>
      </c>
      <c r="S532" s="6">
        <f>HYPERLINK("http://www.eum.go.kr/web/ar/lu/luLandDet.jsp?pnu=4311325028100630008&amp;isNoScr=script&amp;mode=search", "토지이음")</f>
        <v/>
      </c>
      <c r="T532" s="3" t="inlineStr">
        <is>
          <t>동남조은집</t>
        </is>
      </c>
      <c r="U532" s="4" t="n">
        <v>1</v>
      </c>
      <c r="V532" s="5" t="n">
        <v>283.4</v>
      </c>
      <c r="W532" s="4" t="n">
        <v>1041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7.15m</t>
        </is>
      </c>
      <c r="AC532" s="3" t="inlineStr">
        <is>
          <t>2006-09</t>
        </is>
      </c>
      <c r="AD532" s="3" t="inlineStr">
        <is>
          <t>중로각지</t>
        </is>
      </c>
    </row>
    <row r="533">
      <c r="A533" s="3" t="inlineStr">
        <is>
          <t>오송읍 정중리 317-1</t>
        </is>
      </c>
      <c r="B533" s="3" t="inlineStr">
        <is>
          <t>농림지역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500</v>
      </c>
      <c r="G533" s="4" t="n">
        <v>40</v>
      </c>
      <c r="H533" s="4" t="n">
        <v>1220</v>
      </c>
      <c r="I533" s="4" t="n">
        <v>369</v>
      </c>
      <c r="J533" s="5" t="n">
        <v>0.1</v>
      </c>
      <c r="K533" s="4" t="n">
        <v>66</v>
      </c>
      <c r="L533" s="4" t="n">
        <v>20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오송KTX역 및 오송바이오2산단 인근  2차선 도로접한 창고 임대</t>
        </is>
      </c>
      <c r="Q533" s="6">
        <f>HYPERLINK("https://fin.land.naver.com/articles/2654152544", "매물Link")</f>
        <v/>
      </c>
      <c r="R533" s="6">
        <f>HYPERLINK("https://map.naver.com/p/search/오송읍 정중리 317-1", "지도Link")</f>
        <v/>
      </c>
      <c r="S533" s="6">
        <f>HYPERLINK("http://www.eum.go.kr/web/ar/lu/luLandDet.jsp?pnu=4311325032103170001&amp;isNoScr=script&amp;mode=search", "토지이음")</f>
        <v/>
      </c>
      <c r="T533" s="3" t="inlineStr">
        <is>
          <t>번영</t>
        </is>
      </c>
      <c r="U533" s="4" t="n">
        <v>1</v>
      </c>
      <c r="V533" s="5" t="n">
        <v>25.2</v>
      </c>
      <c r="W533" s="4" t="n">
        <v>237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창고시설</t>
        </is>
      </c>
      <c r="AB533" s="3" t="inlineStr">
        <is>
          <t>5.6m</t>
        </is>
      </c>
      <c r="AC533" s="3" t="inlineStr">
        <is>
          <t>2001-10</t>
        </is>
      </c>
      <c r="AD533" s="3" t="inlineStr">
        <is>
          <t>세로한면(가)</t>
        </is>
      </c>
    </row>
    <row r="534">
      <c r="A534" s="3" t="inlineStr">
        <is>
          <t>오송읍 정중리 651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300</v>
      </c>
      <c r="H534" s="4" t="n">
        <v>16494</v>
      </c>
      <c r="I534" s="4" t="n">
        <v>4989</v>
      </c>
      <c r="J534" s="5" t="n">
        <v>0.1</v>
      </c>
      <c r="K534" s="4" t="n">
        <v>337</v>
      </c>
      <c r="L534" s="4" t="n">
        <v>102</v>
      </c>
      <c r="M534" s="5" t="n">
        <v>2.9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오송바이오폴리스지구,식품관련업종,사무실,공장 다 가능</t>
        </is>
      </c>
      <c r="Q534" s="6">
        <f>HYPERLINK("https://fin.land.naver.com/articles/2653787418", "매물Link")</f>
        <v/>
      </c>
      <c r="R534" s="6">
        <f>HYPERLINK("https://map.naver.com/p/search/오송읍 정중리 651", "지도Link")</f>
        <v/>
      </c>
      <c r="S534" s="6">
        <f>HYPERLINK("http://www.eum.go.kr/web/ar/lu/luLandDet.jsp?pnu=4311325032106510000&amp;isNoScr=script&amp;mode=search", "토지이음")</f>
        <v/>
      </c>
      <c r="T534" s="3" t="inlineStr">
        <is>
          <t>오송올래</t>
        </is>
      </c>
      <c r="U534" s="4" t="n">
        <v>1</v>
      </c>
      <c r="V534" s="5" t="n">
        <v>68.40000000000001</v>
      </c>
      <c r="W534" s="4" t="n">
        <v>16494.5</v>
      </c>
      <c r="X534" s="3" t="inlineStr">
        <is>
          <t>주2동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12.2m</t>
        </is>
      </c>
      <c r="AC534" s="3" t="inlineStr">
        <is>
          <t>2025-03</t>
        </is>
      </c>
      <c r="AD534" s="3" t="inlineStr">
        <is>
          <t>광대로한면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592</v>
      </c>
      <c r="L536" s="4" t="n">
        <v>179</v>
      </c>
      <c r="M536" s="5" t="n">
        <v>5.6</v>
      </c>
      <c r="N536" s="3" t="inlineStr">
        <is>
          <t>1</t>
        </is>
      </c>
      <c r="O536" s="3" t="inlineStr">
        <is>
          <t>-</t>
        </is>
      </c>
      <c r="P536" s="3" t="inlineStr">
        <is>
          <t>시설이 완벽하게 갖춰져 있는 건물,공장 월세 임대 가능한 매물입니다</t>
        </is>
      </c>
      <c r="Q536" s="6">
        <f>HYPERLINK("https://fin.land.naver.com/articles/2651110067",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오송2단지창조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8.6m</t>
        </is>
      </c>
      <c r="AC536" s="3" t="inlineStr">
        <is>
          <t>2022-06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350000</v>
      </c>
      <c r="G537" s="4" t="n">
        <v>0</v>
      </c>
      <c r="H537" s="4" t="n">
        <v>2169</v>
      </c>
      <c r="I537" s="4" t="n">
        <v>656</v>
      </c>
      <c r="J537" s="5" t="n">
        <v>533.5</v>
      </c>
      <c r="K537" s="4" t="n">
        <v>592</v>
      </c>
      <c r="L537" s="4" t="n">
        <v>179</v>
      </c>
      <c r="M537" s="5" t="n">
        <v>1955.3</v>
      </c>
      <c r="N537" s="3" t="inlineStr">
        <is>
          <t>1</t>
        </is>
      </c>
      <c r="O537" s="3" t="inlineStr">
        <is>
          <t>-</t>
        </is>
      </c>
      <c r="P537" s="3" t="inlineStr">
        <is>
          <t>창고부지제공, 공장 운영하기 좋은 구조 ,연구동,공장동</t>
        </is>
      </c>
      <c r="Q537" s="6">
        <f>HYPERLINK("https://fin.land.naver.com/articles/2652141929",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주건축물제2동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8.6m</t>
        </is>
      </c>
      <c r="AC537" s="3" t="inlineStr">
        <is>
          <t>2022-06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-</t>
        </is>
      </c>
      <c r="P538" s="3" t="inlineStr">
        <is>
          <t>산업단지 코너에 위치한 관리 잘 된 준신축급 공장</t>
        </is>
      </c>
      <c r="Q538" s="6">
        <f>HYPERLINK("https://fin.land.naver.com/articles/2655941111",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(주)미르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8.6m</t>
        </is>
      </c>
      <c r="AC538" s="3" t="inlineStr">
        <is>
          <t>2022-06</t>
        </is>
      </c>
      <c r="AD538" s="3" t="inlineStr">
        <is>
          <t>중로각지</t>
        </is>
      </c>
    </row>
    <row r="539">
      <c r="A539" s="3" t="inlineStr">
        <is>
          <t>오송읍 정중리 678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18000</v>
      </c>
      <c r="G539" s="4" t="n">
        <v>1000</v>
      </c>
      <c r="H539" s="4" t="n">
        <v>2169</v>
      </c>
      <c r="I539" s="4" t="n">
        <v>656</v>
      </c>
      <c r="J539" s="5" t="n">
        <v>1.5</v>
      </c>
      <c r="K539" s="4" t="n">
        <v>999</v>
      </c>
      <c r="L539" s="4" t="n">
        <v>302</v>
      </c>
      <c r="M539" s="5" t="n">
        <v>3.3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 산업단지 사옥형 공장 임대 입주협의</t>
        </is>
      </c>
      <c r="Q539" s="6">
        <f>HYPERLINK("https://fin.land.naver.com/articles/2650873410", "매물Link")</f>
        <v/>
      </c>
      <c r="R539" s="6">
        <f>HYPERLINK("https://map.naver.com/p/search/오송읍 정중리 678", "지도Link")</f>
        <v/>
      </c>
      <c r="S539" s="6">
        <f>HYPERLINK("http://www.eum.go.kr/web/ar/lu/luLandDet.jsp?pnu=4311325032106780000&amp;isNoScr=script&amp;mode=search", "토지이음")</f>
        <v/>
      </c>
      <c r="T539" s="3" t="inlineStr">
        <is>
          <t>더원</t>
        </is>
      </c>
      <c r="U539" s="4" t="n">
        <v>1</v>
      </c>
      <c r="V539" s="5" t="n">
        <v>67.40000000000001</v>
      </c>
      <c r="W539" s="4" t="n">
        <v>2169.9</v>
      </c>
      <c r="X539" s="3" t="inlineStr">
        <is>
          <t>주건축물제2동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8.6m</t>
        </is>
      </c>
      <c r="AC539" s="3" t="inlineStr">
        <is>
          <t>2022-06</t>
        </is>
      </c>
      <c r="AD539" s="3" t="inlineStr">
        <is>
          <t>중로각지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350000</v>
      </c>
      <c r="G540" s="4" t="n">
        <v>0</v>
      </c>
      <c r="H540" s="4" t="n">
        <v>2169</v>
      </c>
      <c r="I540" s="4" t="n">
        <v>656</v>
      </c>
      <c r="J540" s="5" t="n">
        <v>533.5</v>
      </c>
      <c r="K540" s="4" t="n">
        <v>999</v>
      </c>
      <c r="L540" s="4" t="n">
        <v>302</v>
      </c>
      <c r="M540" s="5" t="n">
        <v>1158.9</v>
      </c>
      <c r="N540" s="3" t="inlineStr">
        <is>
          <t>2</t>
        </is>
      </c>
      <c r="O540" s="3" t="inlineStr">
        <is>
          <t>-</t>
        </is>
      </c>
      <c r="P540" s="3" t="inlineStr">
        <is>
          <t>오송2산단 의료기기업종가능 사옥형 공장으로 추천</t>
        </is>
      </c>
      <c r="Q540" s="6">
        <f>HYPERLINK("https://fin.land.naver.com/articles/2655682737",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주건축물제2동</t>
        </is>
      </c>
      <c r="Y540" s="7" t="inlineStr">
        <is>
          <t>2층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8.6m</t>
        </is>
      </c>
      <c r="AC540" s="3" t="inlineStr">
        <is>
          <t>2022-06</t>
        </is>
      </c>
      <c r="AD540" s="3" t="inlineStr">
        <is>
          <t>중로각지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3616</v>
      </c>
      <c r="L541" s="4" t="n">
        <v>1094</v>
      </c>
      <c r="M541" s="5" t="n">
        <v>3.2</v>
      </c>
      <c r="N541" s="3" t="inlineStr">
        <is>
          <t>5</t>
        </is>
      </c>
      <c r="O541" s="3" t="inlineStr">
        <is>
          <t>-</t>
        </is>
      </c>
      <c r="P541" s="3" t="inlineStr">
        <is>
          <t>3층,4층 공장, 창고 임대.전층공조시설완비,바닥 콘크리트마감, 신축</t>
        </is>
      </c>
      <c r="Q541" s="6">
        <f>HYPERLINK("https://fin.land.naver.com/articles/2653996482",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5000000</v>
      </c>
      <c r="G542" s="4" t="n">
        <v>0</v>
      </c>
      <c r="H542" s="4" t="n">
        <v>10798</v>
      </c>
      <c r="I542" s="4" t="n">
        <v>3266</v>
      </c>
      <c r="J542" s="5" t="n">
        <v>1530.9</v>
      </c>
      <c r="K542" s="4" t="n">
        <v>14761</v>
      </c>
      <c r="L542" s="4" t="n">
        <v>4465</v>
      </c>
      <c r="M542" s="5" t="n">
        <v>1119.8</v>
      </c>
      <c r="N542" s="3" t="inlineStr">
        <is>
          <t>5</t>
        </is>
      </c>
      <c r="O542" s="3" t="inlineStr">
        <is>
          <t>-</t>
        </is>
      </c>
      <c r="P542" s="3" t="inlineStr">
        <is>
          <t>청주ic 오송ktx 10분이내 오송산업단지공장 화학업종 가능</t>
        </is>
      </c>
      <c r="Q542" s="6">
        <f>HYPERLINK("https://fin.land.naver.com/articles/2654807124",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5000000</v>
      </c>
      <c r="G543" s="4" t="n">
        <v>0</v>
      </c>
      <c r="H543" s="4" t="n">
        <v>10798</v>
      </c>
      <c r="I543" s="4" t="n">
        <v>3266</v>
      </c>
      <c r="J543" s="5" t="n">
        <v>1530.9</v>
      </c>
      <c r="K543" s="4" t="n">
        <v>14761</v>
      </c>
      <c r="L543" s="4" t="n">
        <v>4465</v>
      </c>
      <c r="M543" s="5" t="n">
        <v>1119.8</v>
      </c>
      <c r="N543" s="3" t="inlineStr">
        <is>
          <t>5</t>
        </is>
      </c>
      <c r="O543" s="3" t="inlineStr">
        <is>
          <t>-</t>
        </is>
      </c>
      <c r="P543" s="3" t="inlineStr">
        <is>
          <t>킹 사진0 규모의 경제 가시성 탁월 여기만 보임 압도적 존재감 절대적</t>
        </is>
      </c>
      <c r="Q543" s="6">
        <f>HYPERLINK("https://fin.land.naver.com/articles/2651362845",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킹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100000</v>
      </c>
      <c r="G544" s="4" t="n">
        <v>10000</v>
      </c>
      <c r="H544" s="4" t="n">
        <v>10798</v>
      </c>
      <c r="I544" s="4" t="n">
        <v>3266</v>
      </c>
      <c r="J544" s="5" t="n">
        <v>3.1</v>
      </c>
      <c r="K544" s="4" t="n">
        <v>15064</v>
      </c>
      <c r="L544" s="4" t="n">
        <v>4557</v>
      </c>
      <c r="M544" s="5" t="n">
        <v>2.2</v>
      </c>
      <c r="N544" s="3" t="inlineStr">
        <is>
          <t>5</t>
        </is>
      </c>
      <c r="O544" s="3" t="inlineStr">
        <is>
          <t>-</t>
        </is>
      </c>
      <c r="P544" s="3" t="inlineStr">
        <is>
          <t>오송산업단지 공장  오송역 ,청주ic 10분이내  분할 임대가능</t>
        </is>
      </c>
      <c r="Q544" s="6">
        <f>HYPERLINK("https://fin.land.naver.com/articles/2654798106",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부속건축물제1동</t>
        </is>
      </c>
      <c r="Y544" s="7" t="inlineStr">
        <is>
          <t>1층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8.0m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30000</v>
      </c>
      <c r="G545" s="4" t="n">
        <v>3000</v>
      </c>
      <c r="H545" s="4" t="n">
        <v>10798</v>
      </c>
      <c r="I545" s="4" t="n">
        <v>3266</v>
      </c>
      <c r="J545" s="5" t="n">
        <v>0.9</v>
      </c>
      <c r="K545" s="4" t="n">
        <v>2314</v>
      </c>
      <c r="L545" s="4" t="n">
        <v>700</v>
      </c>
      <c r="M545" s="5" t="n">
        <v>4.3</v>
      </c>
      <c r="N545" s="3" t="inlineStr">
        <is>
          <t>5</t>
        </is>
      </c>
      <c r="O545" s="3" t="inlineStr">
        <is>
          <t>-</t>
        </is>
      </c>
      <c r="P545" s="3" t="inlineStr">
        <is>
          <t>항온항습시설, GMP인증 시설. 신축, 1층 2층 부문임대가능</t>
        </is>
      </c>
      <c r="Q545" s="6">
        <f>HYPERLINK("https://fin.land.naver.com/articles/2653575770",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부속건축물제1동</t>
        </is>
      </c>
      <c r="Y545" s="7" t="inlineStr">
        <is>
          <t>1층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8.0m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1476</v>
      </c>
      <c r="L546" s="4" t="n">
        <v>446</v>
      </c>
      <c r="M546" s="5" t="n">
        <v>22.4</v>
      </c>
      <c r="N546" s="3" t="inlineStr">
        <is>
          <t>5</t>
        </is>
      </c>
      <c r="O546" s="3" t="inlineStr">
        <is>
          <t>-</t>
        </is>
      </c>
      <c r="P546" s="3" t="inlineStr">
        <is>
          <t>전층공조시설완비,바닥 크리트마감, 신축공장,건기식,제약,화장품 추천</t>
        </is>
      </c>
      <c r="Q546" s="6">
        <f>HYPERLINK("https://fin.land.naver.com/articles/2655898062",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(주)미르</t>
        </is>
      </c>
      <c r="U546" s="4" t="n">
        <v>2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오송산업단지 공장  오송역 ,청주ic 10분이내  분할 임대가능</t>
        </is>
      </c>
      <c r="Q547" s="6">
        <f>HYPERLINK("https://fin.land.naver.com/articles/2654797161",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더원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718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35000</v>
      </c>
      <c r="G548" s="4" t="n">
        <v>3500</v>
      </c>
      <c r="H548" s="4" t="n">
        <v>10798</v>
      </c>
      <c r="I548" s="4" t="n">
        <v>3266</v>
      </c>
      <c r="J548" s="5" t="n">
        <v>1.1</v>
      </c>
      <c r="K548" s="4" t="n">
        <v>15064</v>
      </c>
      <c r="L548" s="4" t="n">
        <v>4557</v>
      </c>
      <c r="M548" s="5" t="n">
        <v>0.8</v>
      </c>
      <c r="N548" s="3" t="inlineStr">
        <is>
          <t>5</t>
        </is>
      </c>
      <c r="O548" s="3" t="inlineStr">
        <is>
          <t>-</t>
        </is>
      </c>
      <c r="P548" s="3" t="inlineStr">
        <is>
          <t>크린룸,폐수처리,위험물저장소,전층공조시설,화물엘베 각층3개,신축급 공장</t>
        </is>
      </c>
      <c r="Q548" s="6">
        <f>HYPERLINK("https://fin.land.naver.com/articles/2656266145", "매물Link")</f>
        <v/>
      </c>
      <c r="R548" s="6">
        <f>HYPERLINK("https://map.naver.com/p/search/오송읍 정중리 718", "지도Link")</f>
        <v/>
      </c>
      <c r="S548" s="6">
        <f>HYPERLINK("http://www.eum.go.kr/web/ar/lu/luLandDet.jsp?pnu=4311325032107180000&amp;isNoScr=script&amp;mode=search",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74.40000000000001</v>
      </c>
      <c r="W548" s="4" t="n">
        <v>10798.4</v>
      </c>
      <c r="X548" s="3" t="inlineStr">
        <is>
          <t>부속건축물제1동</t>
        </is>
      </c>
      <c r="Y548" s="7" t="inlineStr">
        <is>
          <t>1층</t>
        </is>
      </c>
      <c r="Z548" s="3" t="inlineStr">
        <is>
          <t>철근콘크리트구조</t>
        </is>
      </c>
      <c r="AA548" s="3" t="inlineStr">
        <is>
          <t>공장</t>
        </is>
      </c>
      <c r="AB548" s="3" t="inlineStr">
        <is>
          <t>8.0m</t>
        </is>
      </c>
      <c r="AC548" s="3" t="inlineStr">
        <is>
          <t>2023-10</t>
        </is>
      </c>
      <c r="AD548" s="3" t="inlineStr">
        <is>
          <t>광대소각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5000000</v>
      </c>
      <c r="G549" s="4" t="n">
        <v>0</v>
      </c>
      <c r="H549" s="4" t="n">
        <v>10798</v>
      </c>
      <c r="I549" s="4" t="n">
        <v>3266</v>
      </c>
      <c r="J549" s="5" t="n">
        <v>1530.9</v>
      </c>
      <c r="K549" s="4" t="n">
        <v>14761</v>
      </c>
      <c r="L549" s="4" t="n">
        <v>4465</v>
      </c>
      <c r="M549" s="5" t="n">
        <v>1119.8</v>
      </c>
      <c r="N549" s="3" t="inlineStr">
        <is>
          <t>5</t>
        </is>
      </c>
      <c r="O549" s="3" t="inlineStr">
        <is>
          <t>-</t>
        </is>
      </c>
      <c r="P549" s="3" t="inlineStr">
        <is>
          <t>전층공조시설완비,바닥 유크리트마감, 신축공장,건기식,제약,화장품 추천</t>
        </is>
      </c>
      <c r="Q549" s="6">
        <f>HYPERLINK("https://fin.land.naver.com/articles/2655948346",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(주)미르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부속건축물제1동</t>
        </is>
      </c>
      <c r="Y549" s="7" t="inlineStr">
        <is>
          <t>1층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8.0m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1150000</v>
      </c>
      <c r="G550" s="4" t="n">
        <v>0</v>
      </c>
      <c r="H550" s="4" t="n">
        <v>4999</v>
      </c>
      <c r="I550" s="4" t="n">
        <v>1512</v>
      </c>
      <c r="J550" s="5" t="n">
        <v>760.6</v>
      </c>
      <c r="K550" s="4" t="n">
        <v>9796</v>
      </c>
      <c r="L550" s="4" t="n">
        <v>2963</v>
      </c>
      <c r="M550" s="5" t="n">
        <v>388.1</v>
      </c>
      <c r="N550" s="3" t="inlineStr">
        <is>
          <t>3</t>
        </is>
      </c>
      <c r="O550" s="3" t="inlineStr">
        <is>
          <t>B1</t>
        </is>
      </c>
      <c r="P550" s="3" t="inlineStr">
        <is>
          <t>사진有 공장 매매</t>
        </is>
      </c>
      <c r="Q550" s="6">
        <f>HYPERLINK("https://fin.land.naver.com/articles/2654917110",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월드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2800</v>
      </c>
      <c r="H551" s="4" t="n">
        <v>4999</v>
      </c>
      <c r="I551" s="4" t="n">
        <v>1512</v>
      </c>
      <c r="J551" s="5" t="n">
        <v>1.9</v>
      </c>
      <c r="K551" s="4" t="n">
        <v>3163</v>
      </c>
      <c r="L551" s="4" t="n">
        <v>957</v>
      </c>
      <c r="M551" s="5" t="n">
        <v>2.9</v>
      </c>
      <c r="N551" s="3" t="inlineStr">
        <is>
          <t>3</t>
        </is>
      </c>
      <c r="O551" s="3" t="inlineStr">
        <is>
          <t>B1</t>
        </is>
      </c>
      <c r="P551" s="3" t="inlineStr">
        <is>
          <t>사진有 공장 임대</t>
        </is>
      </c>
      <c r="Q551" s="6">
        <f>HYPERLINK("https://fin.land.naver.com/articles/2654904283",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월드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부1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6.32m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1150000</v>
      </c>
      <c r="G552" s="4" t="n">
        <v>0</v>
      </c>
      <c r="H552" s="4" t="n">
        <v>4999</v>
      </c>
      <c r="I552" s="4" t="n">
        <v>1512</v>
      </c>
      <c r="J552" s="5" t="n">
        <v>760.6</v>
      </c>
      <c r="K552" s="4" t="n">
        <v>9796</v>
      </c>
      <c r="L552" s="4" t="n">
        <v>2963</v>
      </c>
      <c r="M552" s="5" t="n">
        <v>388.1</v>
      </c>
      <c r="N552" s="3" t="inlineStr">
        <is>
          <t>3</t>
        </is>
      </c>
      <c r="O552" s="3" t="inlineStr">
        <is>
          <t>-</t>
        </is>
      </c>
      <c r="P552" s="3" t="inlineStr">
        <is>
          <t>오송2산업단지 4차선도로변 접한 위치의 신축급공장</t>
        </is>
      </c>
      <c r="Q552" s="6">
        <f>HYPERLINK("https://fin.land.naver.com/articles/2655176776",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오송읍 정중리 797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30000</v>
      </c>
      <c r="G553" s="4" t="n">
        <v>2800</v>
      </c>
      <c r="H553" s="4" t="n">
        <v>4999</v>
      </c>
      <c r="I553" s="4" t="n">
        <v>1512</v>
      </c>
      <c r="J553" s="5" t="n">
        <v>1.9</v>
      </c>
      <c r="K553" s="4" t="n">
        <v>9796</v>
      </c>
      <c r="L553" s="4" t="n">
        <v>2963</v>
      </c>
      <c r="M553" s="5" t="n">
        <v>0.9</v>
      </c>
      <c r="N553" s="3" t="inlineStr">
        <is>
          <t>3</t>
        </is>
      </c>
      <c r="O553" s="3" t="inlineStr">
        <is>
          <t>-</t>
        </is>
      </c>
      <c r="P553" s="3" t="inlineStr">
        <is>
          <t>신축급,전기,화학,화장품,의약품 등 입주가능,각층별 과 전체 임대가능</t>
        </is>
      </c>
      <c r="Q553" s="6">
        <f>HYPERLINK("https://fin.land.naver.com/articles/2656299610", "매물Link")</f>
        <v/>
      </c>
      <c r="R553" s="6">
        <f>HYPERLINK("https://map.naver.com/p/search/오송읍 정중리 797", "지도Link")</f>
        <v/>
      </c>
      <c r="S553" s="6">
        <f>HYPERLINK("http://www.eum.go.kr/web/ar/lu/luLandDet.jsp?pnu=4311325032107970000&amp;isNoScr=script&amp;mode=search",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72.90000000000001</v>
      </c>
      <c r="W553" s="4" t="n">
        <v>4999.8</v>
      </c>
      <c r="X553" s="3" t="inlineStr">
        <is>
          <t>주1</t>
        </is>
      </c>
      <c r="Y553" s="7" t="inlineStr">
        <is>
          <t>3층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16.68m</t>
        </is>
      </c>
      <c r="AC553" s="3" t="inlineStr">
        <is>
          <t>2019-10</t>
        </is>
      </c>
      <c r="AD553" s="3" t="inlineStr">
        <is>
          <t>광대로한면</t>
        </is>
      </c>
    </row>
    <row r="554">
      <c r="A554" s="3" t="inlineStr">
        <is>
          <t>오송읍 정중리 797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1150000</v>
      </c>
      <c r="G554" s="4" t="n">
        <v>0</v>
      </c>
      <c r="H554" s="4" t="n">
        <v>4999</v>
      </c>
      <c r="I554" s="4" t="n">
        <v>1512</v>
      </c>
      <c r="J554" s="5" t="n">
        <v>760.6</v>
      </c>
      <c r="K554" s="4" t="n">
        <v>9796</v>
      </c>
      <c r="L554" s="4" t="n">
        <v>2963</v>
      </c>
      <c r="M554" s="5" t="n">
        <v>388.1</v>
      </c>
      <c r="N554" s="3" t="inlineStr">
        <is>
          <t>3</t>
        </is>
      </c>
      <c r="O554" s="3" t="inlineStr">
        <is>
          <t>-</t>
        </is>
      </c>
      <c r="P554" s="3" t="inlineStr">
        <is>
          <t>전기,화학,의약품,의료,화장품코드 입주 가능,신축형 컨디션</t>
        </is>
      </c>
      <c r="Q554" s="6">
        <f>HYPERLINK("https://fin.land.naver.com/articles/2656298188", "매물Link")</f>
        <v/>
      </c>
      <c r="R554" s="6">
        <f>HYPERLINK("https://map.naver.com/p/search/오송읍 정중리 797", "지도Link")</f>
        <v/>
      </c>
      <c r="S554" s="6">
        <f>HYPERLINK("http://www.eum.go.kr/web/ar/lu/luLandDet.jsp?pnu=4311325032107970000&amp;isNoScr=script&amp;mode=search", "토지이음")</f>
        <v/>
      </c>
      <c r="T554" s="3" t="inlineStr">
        <is>
          <t>금화랜드</t>
        </is>
      </c>
      <c r="U554" s="4" t="n">
        <v>3</v>
      </c>
      <c r="V554" s="5" t="n">
        <v>72.90000000000001</v>
      </c>
      <c r="W554" s="4" t="n">
        <v>4999.8</v>
      </c>
      <c r="X554" s="3" t="inlineStr">
        <is>
          <t>주1</t>
        </is>
      </c>
      <c r="Y554" s="7" t="inlineStr">
        <is>
          <t>3층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16.68m</t>
        </is>
      </c>
      <c r="AC554" s="3" t="inlineStr">
        <is>
          <t>2019-10</t>
        </is>
      </c>
      <c r="AD554" s="3" t="inlineStr">
        <is>
          <t>광대로한면</t>
        </is>
      </c>
    </row>
    <row r="555">
      <c r="A555" s="3" t="inlineStr">
        <is>
          <t>오송읍 정중리 797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45000</v>
      </c>
      <c r="G555" s="4" t="n">
        <v>4500</v>
      </c>
      <c r="H555" s="4" t="n">
        <v>4999</v>
      </c>
      <c r="I555" s="4" t="n">
        <v>1512</v>
      </c>
      <c r="J555" s="5" t="n">
        <v>3</v>
      </c>
      <c r="K555" s="4" t="n">
        <v>9796</v>
      </c>
      <c r="L555" s="4" t="n">
        <v>2963</v>
      </c>
      <c r="M555" s="5" t="n">
        <v>1.5</v>
      </c>
      <c r="N555" s="3" t="inlineStr">
        <is>
          <t>3</t>
        </is>
      </c>
      <c r="O555" s="3" t="inlineStr">
        <is>
          <t>-</t>
        </is>
      </c>
      <c r="P555" s="3" t="inlineStr">
        <is>
          <t>오송산단에 위치한 도로접한 공장, 사무실 및 공장 임대</t>
        </is>
      </c>
      <c r="Q555" s="6">
        <f>HYPERLINK("https://fin.land.naver.com/articles/2652357578", "매물Link")</f>
        <v/>
      </c>
      <c r="R555" s="6">
        <f>HYPERLINK("https://map.naver.com/p/search/오송읍 정중리 797", "지도Link")</f>
        <v/>
      </c>
      <c r="S555" s="6">
        <f>HYPERLINK("http://www.eum.go.kr/web/ar/lu/luLandDet.jsp?pnu=4311325032107970000&amp;isNoScr=script&amp;mode=search", "토지이음")</f>
        <v/>
      </c>
      <c r="T555" s="3" t="inlineStr">
        <is>
          <t>(주)미르</t>
        </is>
      </c>
      <c r="U555" s="4" t="n">
        <v>1</v>
      </c>
      <c r="V555" s="5" t="n">
        <v>72.90000000000001</v>
      </c>
      <c r="W555" s="4" t="n">
        <v>4999.8</v>
      </c>
      <c r="X555" s="3" t="inlineStr">
        <is>
          <t>주1</t>
        </is>
      </c>
      <c r="Y555" s="7" t="inlineStr">
        <is>
          <t>3층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16.68m</t>
        </is>
      </c>
      <c r="AC555" s="3" t="inlineStr">
        <is>
          <t>2019-10</t>
        </is>
      </c>
      <c r="AD555" s="3" t="inlineStr">
        <is>
          <t>광대로한면</t>
        </is>
      </c>
    </row>
    <row r="556">
      <c r="A556" s="3" t="inlineStr">
        <is>
          <t>장군면 금암리 99-1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1000</v>
      </c>
      <c r="G556" s="4" t="n">
        <v>120</v>
      </c>
      <c r="H556" s="4" t="n">
        <v>988</v>
      </c>
      <c r="I556" s="4" t="n">
        <v>299</v>
      </c>
      <c r="J556" s="5" t="n">
        <v>0.4</v>
      </c>
      <c r="K556" s="4" t="n">
        <v>196</v>
      </c>
      <c r="L556" s="4" t="n">
        <v>59</v>
      </c>
      <c r="M556" s="5" t="n">
        <v>2</v>
      </c>
      <c r="N556" s="3" t="inlineStr">
        <is>
          <t>1</t>
        </is>
      </c>
      <c r="O556" s="3" t="inlineStr">
        <is>
          <t>-</t>
        </is>
      </c>
      <c r="P556" s="3" t="inlineStr">
        <is>
          <t>제2종근린생활시설 제조업소  2차선 도로와 연접되어 진.출입 원할합니다</t>
        </is>
      </c>
      <c r="Q556" s="6">
        <f>HYPERLINK("https://fin.land.naver.com/articles/2655277046", "매물Link")</f>
        <v/>
      </c>
      <c r="R556" s="6">
        <f>HYPERLINK("https://map.naver.com/p/search/장군면 금암리 99-1", "지도Link")</f>
        <v/>
      </c>
      <c r="S556" s="6">
        <f>HYPERLINK("http://www.eum.go.kr/web/ar/lu/luLandDet.jsp?pnu=3611035025100990001&amp;isNoScr=script&amp;mode=search",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121.1</v>
      </c>
      <c r="W556" s="4" t="n">
        <v>988</v>
      </c>
      <c r="X556" s="3" t="inlineStr">
        <is>
          <t>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제2종근생</t>
        </is>
      </c>
      <c r="AB556" s="3" t="inlineStr">
        <is>
          <t>8.0m</t>
        </is>
      </c>
      <c r="AC556" s="3" t="inlineStr">
        <is>
          <t>2016-08</t>
        </is>
      </c>
      <c r="AD556" s="3" t="inlineStr">
        <is>
          <t>세로한면(가)</t>
        </is>
      </c>
    </row>
    <row r="557">
      <c r="A557" s="3" t="inlineStr">
        <is>
          <t>장군면 대교리 421-10</t>
        </is>
      </c>
      <c r="B557" s="3" t="inlineStr">
        <is>
          <t>농림지역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500</v>
      </c>
      <c r="G557" s="4" t="n">
        <v>70</v>
      </c>
      <c r="H557" s="4" t="n">
        <v>990</v>
      </c>
      <c r="I557" s="4" t="n">
        <v>299</v>
      </c>
      <c r="J557" s="5" t="n">
        <v>0.2</v>
      </c>
      <c r="K557" s="4" t="n">
        <v>130</v>
      </c>
      <c r="L557" s="4" t="n">
        <v>39</v>
      </c>
      <c r="M557" s="5" t="n">
        <v>1.8</v>
      </c>
      <c r="N557" s="3" t="inlineStr">
        <is>
          <t>1</t>
        </is>
      </c>
      <c r="O557" s="3" t="inlineStr">
        <is>
          <t>B1</t>
        </is>
      </c>
      <c r="P557" s="3" t="inlineStr">
        <is>
          <t>농업용 창고임</t>
        </is>
      </c>
      <c r="Q557" s="6">
        <f>HYPERLINK("https://fin.land.naver.com/articles/2652602141", "매물Link")</f>
        <v/>
      </c>
      <c r="R557" s="6">
        <f>HYPERLINK("https://map.naver.com/p/search/장군면 대교리 421-10", "지도Link")</f>
        <v/>
      </c>
      <c r="S557" s="6">
        <f>HYPERLINK("http://www.eum.go.kr/web/ar/lu/luLandDet.jsp?pnu=3611035023104210010&amp;isNoScr=script&amp;mode=search", "토지이음")</f>
        <v/>
      </c>
      <c r="T557" s="3" t="inlineStr">
        <is>
          <t>세종공주제일</t>
        </is>
      </c>
      <c r="U557" s="4" t="n">
        <v>1</v>
      </c>
      <c r="V557" s="5" t="n">
        <v>46.7</v>
      </c>
      <c r="W557" s="4" t="n">
        <v>990</v>
      </c>
      <c r="X557" s="3" t="inlineStr">
        <is>
          <t>주건축물제1동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6.4m</t>
        </is>
      </c>
      <c r="AC557" s="3" t="inlineStr">
        <is>
          <t>2020-12</t>
        </is>
      </c>
      <c r="AD557" s="3" t="inlineStr">
        <is>
          <t>세로한면(가)</t>
        </is>
      </c>
    </row>
    <row r="558">
      <c r="A558" s="3" t="inlineStr">
        <is>
          <t>장군면 대교리 79-169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창고</t>
        </is>
      </c>
      <c r="E558" s="3" t="inlineStr">
        <is>
          <t>월세</t>
        </is>
      </c>
      <c r="F558" s="4" t="n">
        <v>2000</v>
      </c>
      <c r="G558" s="4" t="n">
        <v>60</v>
      </c>
      <c r="H558" s="4" t="n">
        <v>773</v>
      </c>
      <c r="I558" s="4" t="n">
        <v>234</v>
      </c>
      <c r="J558" s="5" t="n">
        <v>0.3</v>
      </c>
      <c r="K558" s="4" t="n">
        <v>99</v>
      </c>
      <c r="L558" s="4" t="n">
        <v>30</v>
      </c>
      <c r="M558" s="5" t="n">
        <v>2</v>
      </c>
      <c r="N558" s="3" t="inlineStr">
        <is>
          <t>1</t>
        </is>
      </c>
      <c r="O558" s="3" t="inlineStr">
        <is>
          <t>-</t>
        </is>
      </c>
      <c r="P558" s="3" t="inlineStr">
        <is>
          <t>전원주택 단지 신축 근린생활시설 힐링하며 사용하세요</t>
        </is>
      </c>
      <c r="Q558" s="6">
        <f>HYPERLINK("https://fin.land.naver.com/articles/2650893899", "매물Link")</f>
        <v/>
      </c>
      <c r="R558" s="6">
        <f>HYPERLINK("https://map.naver.com/p/search/장군면 대교리 79-169", "지도Link")</f>
        <v/>
      </c>
      <c r="S558" s="6">
        <f>HYPERLINK("http://www.eum.go.kr/web/ar/lu/luLandDet.jsp?pnu=3611035023100790169&amp;isNoScr=script&amp;mode=search", "토지이음")</f>
        <v/>
      </c>
      <c r="T558" s="3" t="inlineStr">
        <is>
          <t>세종공주원탑</t>
        </is>
      </c>
      <c r="U558" s="4" t="n">
        <v>1</v>
      </c>
      <c r="V558" s="5" t="n">
        <v>115.1</v>
      </c>
      <c r="W558" s="4" t="n">
        <v>740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4.63m</t>
        </is>
      </c>
      <c r="AC558" s="3" t="inlineStr">
        <is>
          <t>2026-06</t>
        </is>
      </c>
      <c r="AD558" s="3" t="inlineStr">
        <is>
          <t>소로한면</t>
        </is>
      </c>
    </row>
    <row r="559">
      <c r="A559" s="3" t="inlineStr">
        <is>
          <t>장군면 봉안리 131-2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3022</v>
      </c>
      <c r="I559" s="4" t="n">
        <v>914</v>
      </c>
      <c r="J559" s="5" t="n">
        <v>246.2</v>
      </c>
      <c r="K559" s="4" t="n">
        <v>554</v>
      </c>
      <c r="L559" s="4" t="n">
        <v>168</v>
      </c>
      <c r="M559" s="5" t="n">
        <v>1339.3</v>
      </c>
      <c r="N559" s="3" t="inlineStr">
        <is>
          <t>2</t>
        </is>
      </c>
      <c r="O559" s="3" t="inlineStr">
        <is>
          <t>-</t>
        </is>
      </c>
      <c r="P559" s="3" t="inlineStr">
        <is>
          <t>고속도로인근 귀한 창고 매매</t>
        </is>
      </c>
      <c r="Q559" s="6">
        <f>HYPERLINK("https://fin.land.naver.com/articles/2652017964", "매물Link")</f>
        <v/>
      </c>
      <c r="R559" s="6">
        <f>HYPERLINK("https://map.naver.com/p/search/장군면 봉안리 131-2", "지도Link")</f>
        <v/>
      </c>
      <c r="S559" s="6">
        <f>HYPERLINK("http://www.eum.go.kr/web/ar/lu/luLandDet.jsp?pnu=3611035024101310002&amp;isNoScr=script&amp;mode=search", "토지이음")</f>
        <v/>
      </c>
      <c r="T559" s="3" t="inlineStr">
        <is>
          <t>드림사무소</t>
        </is>
      </c>
      <c r="U559" s="4" t="n">
        <v>1</v>
      </c>
      <c r="V559" s="5" t="n">
        <v>116.3</v>
      </c>
      <c r="W559" s="4" t="n">
        <v>991</v>
      </c>
      <c r="X559" s="3" t="inlineStr">
        <is>
          <t>제1동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7.6m</t>
        </is>
      </c>
      <c r="AC559" s="3" t="inlineStr">
        <is>
          <t>2013-04</t>
        </is>
      </c>
      <c r="AD559" s="3" t="inlineStr">
        <is>
          <t>세로한면(가)</t>
        </is>
      </c>
    </row>
    <row r="560">
      <c r="A560" s="3" t="inlineStr">
        <is>
          <t>장군면 봉안리 131-2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공장</t>
        </is>
      </c>
      <c r="E560" s="3" t="inlineStr">
        <is>
          <t>매매</t>
        </is>
      </c>
      <c r="F560" s="4" t="n">
        <v>225000</v>
      </c>
      <c r="G560" s="4" t="n">
        <v>0</v>
      </c>
      <c r="H560" s="4" t="n">
        <v>3022</v>
      </c>
      <c r="I560" s="4" t="n">
        <v>914</v>
      </c>
      <c r="J560" s="5" t="n">
        <v>246.2</v>
      </c>
      <c r="K560" s="4" t="n">
        <v>554</v>
      </c>
      <c r="L560" s="4" t="n">
        <v>168</v>
      </c>
      <c r="M560" s="5" t="n">
        <v>1339.3</v>
      </c>
      <c r="N560" s="3" t="inlineStr">
        <is>
          <t>1</t>
        </is>
      </c>
      <c r="O560" s="3" t="inlineStr">
        <is>
          <t>B1</t>
        </is>
      </c>
      <c r="P560" s="3" t="inlineStr">
        <is>
          <t>민원 없는 위치 철구조물 제작 또는 물류 보관 창고 대형차량 입.출 원활</t>
        </is>
      </c>
      <c r="Q560" s="6">
        <f>HYPERLINK("https://fin.land.naver.com/articles/2651414020", "매물Link")</f>
        <v/>
      </c>
      <c r="R560" s="6">
        <f>HYPERLINK("https://map.naver.com/p/search/장군면 봉안리 131-2", "지도Link")</f>
        <v/>
      </c>
      <c r="S560" s="6">
        <f>HYPERLINK("http://www.eum.go.kr/web/ar/lu/luLandDet.jsp?pnu=3611035024101310002&amp;isNoScr=script&amp;mode=search",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116.3</v>
      </c>
      <c r="W560" s="4" t="n">
        <v>991</v>
      </c>
      <c r="X560" s="3" t="inlineStr">
        <is>
          <t>제1동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7.6m</t>
        </is>
      </c>
      <c r="AC560" s="3" t="inlineStr">
        <is>
          <t>2013-04</t>
        </is>
      </c>
      <c r="AD560" s="3" t="inlineStr">
        <is>
          <t>세로한면(가)</t>
        </is>
      </c>
    </row>
    <row r="561">
      <c r="A561" s="3" t="inlineStr">
        <is>
          <t>장군면 송문리 249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165000</v>
      </c>
      <c r="G561" s="4" t="n">
        <v>0</v>
      </c>
      <c r="H561" s="4" t="n">
        <v>2456</v>
      </c>
      <c r="I561" s="4" t="n">
        <v>743</v>
      </c>
      <c r="J561" s="5" t="n">
        <v>222.1</v>
      </c>
      <c r="K561" s="4" t="n">
        <v>648</v>
      </c>
      <c r="L561" s="4" t="n">
        <v>196</v>
      </c>
      <c r="M561" s="5" t="n">
        <v>841.8</v>
      </c>
      <c r="N561" s="3" t="inlineStr">
        <is>
          <t>1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HYPERLINK("https://fin.land.naver.com/articles/2654025302", "매물Link")</f>
        <v/>
      </c>
      <c r="R561" s="6">
        <f>HYPERLINK("https://map.naver.com/p/search/장군면 송문리 249", "지도Link")</f>
        <v/>
      </c>
      <c r="S561" s="6">
        <f>HYPERLINK("http://www.eum.go.kr/web/ar/lu/luLandDet.jsp?pnu=3611035029102490000&amp;isNoScr=script&amp;mode=search", "토지이음")</f>
        <v/>
      </c>
      <c r="T561" s="3" t="inlineStr">
        <is>
          <t>세종지평</t>
        </is>
      </c>
      <c r="U561" s="4" t="n">
        <v>2</v>
      </c>
      <c r="V561" s="5" t="n">
        <v>101.6</v>
      </c>
      <c r="W561" s="4" t="n">
        <v>2456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7.94m</t>
        </is>
      </c>
      <c r="AC561" s="3" t="inlineStr">
        <is>
          <t>2014-12</t>
        </is>
      </c>
      <c r="AD561" s="3" t="inlineStr">
        <is>
          <t>세로한면(가)</t>
        </is>
      </c>
    </row>
    <row r="562">
      <c r="A562" s="3" t="inlineStr">
        <is>
          <t>장군면 송문리 249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165000</v>
      </c>
      <c r="G562" s="4" t="n">
        <v>0</v>
      </c>
      <c r="H562" s="4" t="n">
        <v>2456</v>
      </c>
      <c r="I562" s="4" t="n">
        <v>743</v>
      </c>
      <c r="J562" s="5" t="n">
        <v>222.1</v>
      </c>
      <c r="K562" s="4" t="n">
        <v>648</v>
      </c>
      <c r="L562" s="4" t="n">
        <v>196</v>
      </c>
      <c r="M562" s="5" t="n">
        <v>841.8</v>
      </c>
      <c r="N562" s="3" t="inlineStr">
        <is>
          <t>2</t>
        </is>
      </c>
      <c r="O562" s="3" t="inlineStr">
        <is>
          <t>B1</t>
        </is>
      </c>
      <c r="P562" s="3" t="inlineStr">
        <is>
          <t>2개동, 공장 건물 매매, 조율가능</t>
        </is>
      </c>
      <c r="Q562" s="6">
        <f>HYPERLINK("https://fin.land.naver.com/articles/2654892775", "매물Link")</f>
        <v/>
      </c>
      <c r="R562" s="6">
        <f>HYPERLINK("https://map.naver.com/p/search/장군면 송문리 249", "지도Link")</f>
        <v/>
      </c>
      <c r="S562" s="6">
        <f>HYPERLINK("http://www.eum.go.kr/web/ar/lu/luLandDet.jsp?pnu=3611035029102490000&amp;isNoScr=script&amp;mode=search", "토지이음")</f>
        <v/>
      </c>
      <c r="T562" s="3" t="inlineStr">
        <is>
          <t>명진</t>
        </is>
      </c>
      <c r="U562" s="4" t="n">
        <v>1</v>
      </c>
      <c r="V562" s="5" t="n">
        <v>101.6</v>
      </c>
      <c r="W562" s="4" t="n">
        <v>2456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7.94m</t>
        </is>
      </c>
      <c r="AC562" s="3" t="inlineStr">
        <is>
          <t>2014-12</t>
        </is>
      </c>
      <c r="AD562" s="3" t="inlineStr">
        <is>
          <t>세로한면(가)</t>
        </is>
      </c>
    </row>
    <row r="563">
      <c r="A563" s="3" t="inlineStr">
        <is>
          <t>장군면 송학리 126-8</t>
        </is>
      </c>
      <c r="B563" s="3" t="inlineStr">
        <is>
          <t>계획관리지역</t>
        </is>
      </c>
      <c r="C563" s="3" t="inlineStr">
        <is>
          <t>창고용지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3000</v>
      </c>
      <c r="G563" s="4" t="n">
        <v>250</v>
      </c>
      <c r="H563" s="4" t="n">
        <v>1990</v>
      </c>
      <c r="I563" s="4" t="n">
        <v>602</v>
      </c>
      <c r="J563" s="5" t="n">
        <v>0.4</v>
      </c>
      <c r="K563" s="4" t="n">
        <v>596</v>
      </c>
      <c r="L563" s="4" t="n">
        <v>180</v>
      </c>
      <c r="M563" s="5" t="n">
        <v>1.4</v>
      </c>
      <c r="N563" s="3" t="inlineStr">
        <is>
          <t>1</t>
        </is>
      </c>
      <c r="O563" s="3" t="inlineStr">
        <is>
          <t>B1</t>
        </is>
      </c>
      <c r="P563" s="3" t="inlineStr">
        <is>
          <t>야드 넓은 창고 저온창고로 사용되는 곳으로 층고 높아요</t>
        </is>
      </c>
      <c r="Q563" s="6">
        <f>HYPERLINK("https://fin.land.naver.com/articles/2652933488", "매물Link")</f>
        <v/>
      </c>
      <c r="R563" s="6">
        <f>HYPERLINK("https://map.naver.com/p/search/장군면 송학리 126-8", "지도Link")</f>
        <v/>
      </c>
      <c r="S563" s="6">
        <f>HYPERLINK("http://www.eum.go.kr/web/ar/lu/luLandDet.jsp?pnu=3611035031101260008&amp;isNoScr=script&amp;mode=search",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93.90000000000001</v>
      </c>
      <c r="W563" s="4" t="n">
        <v>1908</v>
      </c>
      <c r="X563" s="3" t="inlineStr">
        <is>
          <t>1동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창고시설</t>
        </is>
      </c>
      <c r="AB563" s="3" t="inlineStr">
        <is>
          <t>8.5m</t>
        </is>
      </c>
      <c r="AC563" s="3" t="inlineStr">
        <is>
          <t>2007-11</t>
        </is>
      </c>
      <c r="AD563" s="3" t="inlineStr">
        <is>
          <t>세로한면(가)</t>
        </is>
      </c>
    </row>
    <row r="564">
      <c r="A564" s="3" t="inlineStr">
        <is>
          <t>장군면 송학리 468-19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매매</t>
        </is>
      </c>
      <c r="F564" s="4" t="n">
        <v>70000</v>
      </c>
      <c r="G564" s="4" t="n">
        <v>0</v>
      </c>
      <c r="H564" s="4" t="n">
        <v>446</v>
      </c>
      <c r="I564" s="4" t="n">
        <v>135</v>
      </c>
      <c r="J564" s="5" t="n">
        <v>518.5</v>
      </c>
      <c r="K564" s="4" t="n">
        <v>89</v>
      </c>
      <c r="L564" s="4" t="n">
        <v>27</v>
      </c>
      <c r="M564" s="5" t="n">
        <v>2592.6</v>
      </c>
      <c r="N564" s="3" t="inlineStr">
        <is>
          <t>1</t>
        </is>
      </c>
      <c r="O564" s="3" t="inlineStr">
        <is>
          <t>-</t>
        </is>
      </c>
      <c r="P564" s="3" t="inlineStr">
        <is>
          <t>도로접함. 주변토지와 함께 개발가능</t>
        </is>
      </c>
      <c r="Q564" s="6">
        <f>HYPERLINK("https://fin.land.naver.com/articles/2652493840", "매물Link")</f>
        <v/>
      </c>
      <c r="R564" s="6">
        <f>HYPERLINK("https://map.naver.com/p/search/장군면 송학리 468-19", "지도Link")</f>
        <v/>
      </c>
      <c r="S564" s="6">
        <f>HYPERLINK("http://www.eum.go.kr/web/ar/lu/luLandDet.jsp?pnu=3611035031104680019&amp;isNoScr=script&amp;mode=search", "토지이음")</f>
        <v/>
      </c>
      <c r="T564" s="3" t="inlineStr">
        <is>
          <t>터</t>
        </is>
      </c>
      <c r="U564" s="4" t="n">
        <v>1</v>
      </c>
      <c r="V564" s="5" t="n">
        <v>54.7</v>
      </c>
      <c r="W564" s="4" t="n">
        <v>446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제2종근생</t>
        </is>
      </c>
      <c r="AB564" s="3" t="inlineStr">
        <is>
          <t>5.2m</t>
        </is>
      </c>
      <c r="AC564" s="3" t="inlineStr">
        <is>
          <t>2023-09</t>
        </is>
      </c>
      <c r="AD564" s="3" t="inlineStr">
        <is>
          <t>세로한면(가)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150</v>
      </c>
      <c r="H565" s="4" t="n">
        <v>600</v>
      </c>
      <c r="I565" s="4" t="n">
        <v>182</v>
      </c>
      <c r="J565" s="5" t="n">
        <v>0.8</v>
      </c>
      <c r="K565" s="4" t="n">
        <v>199</v>
      </c>
      <c r="L565" s="4" t="n">
        <v>60</v>
      </c>
      <c r="M565" s="5" t="n">
        <v>2.5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연접한 위치 내부에 화장실및 사무실 있습니다</t>
        </is>
      </c>
      <c r="Q565" s="6">
        <f>HYPERLINK("https://fin.land.naver.com/articles/2651247786",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제3동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7.6m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서세종ic 10분, 2차로변으로 노출좋고 접근성 좋아요</t>
        </is>
      </c>
      <c r="Q567" s="6">
        <f>HYPERLINK("https://fin.land.naver.com/articles/2651623632",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세종다올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173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1000</v>
      </c>
      <c r="G568" s="4" t="n">
        <v>50</v>
      </c>
      <c r="H568" s="4" t="n">
        <v>1500</v>
      </c>
      <c r="I568" s="4" t="n">
        <v>454</v>
      </c>
      <c r="J568" s="5" t="n">
        <v>0.1</v>
      </c>
      <c r="K568" s="4" t="n">
        <v>50</v>
      </c>
      <c r="L568" s="4" t="n">
        <v>15</v>
      </c>
      <c r="M568" s="5" t="n">
        <v>3.3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10분, 2차로에 위치한 소형사무실이나 창고</t>
        </is>
      </c>
      <c r="Q568" s="6">
        <f>HYPERLINK("https://fin.land.naver.com/articles/2651632128", "매물Link")</f>
        <v/>
      </c>
      <c r="R568" s="6">
        <f>HYPERLINK("https://map.naver.com/p/search/장군면 평기리 173", "지도Link")</f>
        <v/>
      </c>
      <c r="S568" s="6">
        <f>HYPERLINK("http://www.eum.go.kr/web/ar/lu/luLandDet.jsp?pnu=3611035022101730000&amp;isNoScr=script&amp;mode=search", "토지이음")</f>
        <v/>
      </c>
      <c r="T568" s="3" t="inlineStr">
        <is>
          <t>세종다올</t>
        </is>
      </c>
      <c r="U568" s="4" t="n">
        <v>1</v>
      </c>
      <c r="V568" s="5" t="n">
        <v>124</v>
      </c>
      <c r="W568" s="4" t="n">
        <v>1500</v>
      </c>
      <c r="X568" s="3" t="inlineStr">
        <is>
          <t>제2동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8.5m</t>
        </is>
      </c>
      <c r="AC568" s="3" t="inlineStr">
        <is>
          <t>2019-12</t>
        </is>
      </c>
      <c r="AD568" s="3" t="inlineStr">
        <is>
          <t>소로각지</t>
        </is>
      </c>
    </row>
    <row r="569">
      <c r="A569" s="3" t="inlineStr">
        <is>
          <t>장군면 평기리 173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150</v>
      </c>
      <c r="H569" s="4" t="n">
        <v>1500</v>
      </c>
      <c r="I569" s="4" t="n">
        <v>454</v>
      </c>
      <c r="J569" s="5" t="n">
        <v>0.3</v>
      </c>
      <c r="K569" s="4" t="n">
        <v>199</v>
      </c>
      <c r="L569" s="4" t="n">
        <v>60</v>
      </c>
      <c r="M569" s="5" t="n">
        <v>2.5</v>
      </c>
      <c r="N569" s="3" t="inlineStr">
        <is>
          <t>1</t>
        </is>
      </c>
      <c r="O569" s="3" t="inlineStr">
        <is>
          <t>-</t>
        </is>
      </c>
      <c r="P569" s="3" t="inlineStr">
        <is>
          <t>사진 有 워크인 냉장고 있는 상하차 편리한 창고</t>
        </is>
      </c>
      <c r="Q569" s="6">
        <f>HYPERLINK("https://fin.land.naver.com/articles/2651936647", "매물Link")</f>
        <v/>
      </c>
      <c r="R569" s="6">
        <f>HYPERLINK("https://map.naver.com/p/search/장군면 평기리 173", "지도Link")</f>
        <v/>
      </c>
      <c r="S569" s="6">
        <f>HYPERLINK("http://www.eum.go.kr/web/ar/lu/luLandDet.jsp?pnu=3611035022101730000&amp;isNoScr=script&amp;mode=search", "토지이음")</f>
        <v/>
      </c>
      <c r="T569" s="3" t="inlineStr">
        <is>
          <t>KS</t>
        </is>
      </c>
      <c r="U569" s="4" t="n">
        <v>1</v>
      </c>
      <c r="V569" s="5" t="n">
        <v>124</v>
      </c>
      <c r="W569" s="4" t="n">
        <v>1500</v>
      </c>
      <c r="X569" s="3" t="inlineStr">
        <is>
          <t>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7.6m</t>
        </is>
      </c>
      <c r="AC569" s="3" t="inlineStr">
        <is>
          <t>2019-12</t>
        </is>
      </c>
      <c r="AD569" s="3" t="inlineStr">
        <is>
          <t>소로각지</t>
        </is>
      </c>
    </row>
    <row r="570">
      <c r="A570" s="3" t="inlineStr">
        <is>
          <t>장군면 평기리 173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월세</t>
        </is>
      </c>
      <c r="F570" s="4" t="n">
        <v>1000</v>
      </c>
      <c r="G570" s="4" t="n">
        <v>50</v>
      </c>
      <c r="H570" s="4" t="n">
        <v>1500</v>
      </c>
      <c r="I570" s="4" t="n">
        <v>454</v>
      </c>
      <c r="J570" s="5" t="n">
        <v>0.1</v>
      </c>
      <c r="K570" s="4" t="n">
        <v>50</v>
      </c>
      <c r="L570" s="4" t="n">
        <v>15</v>
      </c>
      <c r="M570" s="5" t="n">
        <v>3.3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 접한 소형 창고 내부 화장실 있으며 주차 용이합니다</t>
        </is>
      </c>
      <c r="Q570" s="6">
        <f>HYPERLINK("https://fin.land.naver.com/articles/2650884073", "매물Link")</f>
        <v/>
      </c>
      <c r="R570" s="6">
        <f>HYPERLINK("https://map.naver.com/p/search/장군면 평기리 173", "지도Link")</f>
        <v/>
      </c>
      <c r="S570" s="6">
        <f>HYPERLINK("http://www.eum.go.kr/web/ar/lu/luLandDet.jsp?pnu=3611035022101730000&amp;isNoScr=script&amp;mode=search",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124</v>
      </c>
      <c r="W570" s="4" t="n">
        <v>1500</v>
      </c>
      <c r="X570" s="3" t="inlineStr">
        <is>
          <t>제2동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8.5m</t>
        </is>
      </c>
      <c r="AC570" s="3" t="inlineStr">
        <is>
          <t>2019-12</t>
        </is>
      </c>
      <c r="AD570" s="3" t="inlineStr">
        <is>
          <t>소로각지</t>
        </is>
      </c>
    </row>
    <row r="571">
      <c r="A571" s="3" t="inlineStr">
        <is>
          <t>장군면 평기리 287-25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월세</t>
        </is>
      </c>
      <c r="F571" s="4" t="n">
        <v>2000</v>
      </c>
      <c r="G571" s="4" t="n">
        <v>135</v>
      </c>
      <c r="H571" s="4" t="n">
        <v>423</v>
      </c>
      <c r="I571" s="4" t="n">
        <v>128</v>
      </c>
      <c r="J571" s="5" t="n">
        <v>1.1</v>
      </c>
      <c r="K571" s="4" t="n">
        <v>168</v>
      </c>
      <c r="L571" s="4" t="n">
        <v>51</v>
      </c>
      <c r="M571" s="5" t="n">
        <v>2.6</v>
      </c>
      <c r="N571" s="3" t="inlineStr">
        <is>
          <t>1</t>
        </is>
      </c>
      <c r="O571" s="3" t="inlineStr">
        <is>
          <t>-</t>
        </is>
      </c>
      <c r="P571" s="3" t="inlineStr">
        <is>
          <t>서세종IC 10분거리 즉시 입주 가능 진.출입 원활한 위치입니다</t>
        </is>
      </c>
      <c r="Q571" s="6">
        <f>HYPERLINK("https://fin.land.naver.com/articles/2655279952", "매물Link")</f>
        <v/>
      </c>
      <c r="R571" s="6">
        <f>HYPERLINK("https://map.naver.com/p/search/장군면 평기리 287-25", "지도Link")</f>
        <v/>
      </c>
      <c r="S571" s="6">
        <f>HYPERLINK("http://www.eum.go.kr/web/ar/lu/luLandDet.jsp?pnu=3611035022102870025&amp;isNoScr=script&amp;mode=search", "토지이음")</f>
        <v/>
      </c>
      <c r="T571" s="3" t="inlineStr">
        <is>
          <t>세종공주원탑</t>
        </is>
      </c>
      <c r="U571" s="4" t="n">
        <v>3</v>
      </c>
      <c r="V571" s="5" t="n">
        <v>136</v>
      </c>
      <c r="W571" s="4" t="n">
        <v>423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7.05m</t>
        </is>
      </c>
      <c r="AC571" s="3" t="inlineStr">
        <is>
          <t>2018-12</t>
        </is>
      </c>
      <c r="AD571" s="3" t="inlineStr">
        <is>
          <t>세로한면(가)</t>
        </is>
      </c>
    </row>
    <row r="572">
      <c r="A572" s="3" t="inlineStr">
        <is>
          <t>장군면 평기리 288-4</t>
        </is>
      </c>
      <c r="B572" s="3" t="inlineStr">
        <is>
          <t>계획관리지역</t>
        </is>
      </c>
      <c r="C572" s="3" t="inlineStr">
        <is>
          <t>창고용지</t>
        </is>
      </c>
      <c r="D572" s="3" t="inlineStr">
        <is>
          <t>창고</t>
        </is>
      </c>
      <c r="E572" s="3" t="inlineStr">
        <is>
          <t>월세</t>
        </is>
      </c>
      <c r="F572" s="4" t="n">
        <v>1500</v>
      </c>
      <c r="G572" s="4" t="n">
        <v>110</v>
      </c>
      <c r="H572" s="4" t="n">
        <v>727</v>
      </c>
      <c r="I572" s="4" t="n">
        <v>220</v>
      </c>
      <c r="J572" s="5" t="n">
        <v>0.5</v>
      </c>
      <c r="K572" s="4" t="n">
        <v>150</v>
      </c>
      <c r="L572" s="4" t="n">
        <v>45</v>
      </c>
      <c r="M572" s="5" t="n">
        <v>2.4</v>
      </c>
      <c r="N572" s="3" t="inlineStr">
        <is>
          <t>1</t>
        </is>
      </c>
      <c r="O572" s="3" t="inlineStr">
        <is>
          <t>-</t>
        </is>
      </c>
      <c r="P572" s="3" t="inlineStr">
        <is>
          <t>2차선 도로와 연접 2층 구조 일정 면적 사무 공간으로 설치됨</t>
        </is>
      </c>
      <c r="Q572" s="6">
        <f>HYPERLINK("https://fin.land.naver.com/articles/2655039332", "매물Link")</f>
        <v/>
      </c>
      <c r="R572" s="6">
        <f>HYPERLINK("https://map.naver.com/p/search/장군면 평기리 288-4", "지도Link")</f>
        <v/>
      </c>
      <c r="S572" s="6">
        <f>HYPERLINK("http://www.eum.go.kr/web/ar/lu/luLandDet.jsp?pnu=3611035022102880004&amp;isNoScr=script&amp;mode=search", "토지이음")</f>
        <v/>
      </c>
      <c r="T572" s="3" t="inlineStr">
        <is>
          <t>세종공주원탑</t>
        </is>
      </c>
      <c r="U572" s="4" t="n">
        <v>1</v>
      </c>
      <c r="V572" s="5" t="n">
        <v>134.8</v>
      </c>
      <c r="W572" s="4" t="n">
        <v>727</v>
      </c>
      <c r="X572" s="3" t="inlineStr">
        <is>
          <t>주건축물제1동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창고시설</t>
        </is>
      </c>
      <c r="AB572" s="3" t="inlineStr">
        <is>
          <t>7.8m</t>
        </is>
      </c>
      <c r="AC572" s="3" t="inlineStr">
        <is>
          <t>2014-10</t>
        </is>
      </c>
      <c r="AD572" s="3" t="inlineStr">
        <is>
          <t>소로한면</t>
        </is>
      </c>
    </row>
    <row r="573">
      <c r="A573" s="3" t="inlineStr">
        <is>
          <t>장군면 평기리 288-4</t>
        </is>
      </c>
      <c r="B573" s="3" t="inlineStr">
        <is>
          <t>계획관리지역</t>
        </is>
      </c>
      <c r="C573" s="3" t="inlineStr">
        <is>
          <t>창고용지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160</v>
      </c>
      <c r="H573" s="4" t="n">
        <v>828</v>
      </c>
      <c r="I573" s="4" t="n">
        <v>250</v>
      </c>
      <c r="J573" s="5" t="n">
        <v>0.6</v>
      </c>
      <c r="K573" s="4" t="n">
        <v>199</v>
      </c>
      <c r="L573" s="4" t="n">
        <v>60</v>
      </c>
      <c r="M573" s="5" t="n">
        <v>2.7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도로와 연접 서세종IC 이용편리 사무실및 화장실 12월1일 입주</t>
        </is>
      </c>
      <c r="Q573" s="6">
        <f>HYPERLINK("https://fin.land.naver.com/articles/2652932599", "매물Link")</f>
        <v/>
      </c>
      <c r="R573" s="6">
        <f>HYPERLINK("https://map.naver.com/p/search/장군면 평기리 288-4", "지도Link")</f>
        <v/>
      </c>
      <c r="S573" s="6">
        <f>HYPERLINK("http://www.eum.go.kr/web/ar/lu/luLandDet.jsp?pnu=3611035022102880004&amp;isNoScr=script&amp;mode=search",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134.8</v>
      </c>
      <c r="W573" s="4" t="n">
        <v>727</v>
      </c>
      <c r="X573" s="3" t="inlineStr">
        <is>
          <t>주건축물제1동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창고시설</t>
        </is>
      </c>
      <c r="AB573" s="3" t="inlineStr">
        <is>
          <t>7.8m</t>
        </is>
      </c>
      <c r="AC573" s="3" t="inlineStr">
        <is>
          <t>2014-10</t>
        </is>
      </c>
      <c r="AD573" s="3" t="inlineStr">
        <is>
          <t>소로한면</t>
        </is>
      </c>
    </row>
    <row r="574">
      <c r="A574" s="3" t="inlineStr">
        <is>
          <t>장군면 하봉리 182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230000</v>
      </c>
      <c r="G574" s="4" t="n">
        <v>0</v>
      </c>
      <c r="H574" s="4" t="n">
        <v>3225</v>
      </c>
      <c r="I574" s="4" t="n">
        <v>976</v>
      </c>
      <c r="J574" s="5" t="n">
        <v>235.7</v>
      </c>
      <c r="K574" s="4" t="n">
        <v>768</v>
      </c>
      <c r="L574" s="4" t="n">
        <v>232</v>
      </c>
      <c r="M574" s="5" t="n">
        <v>991.4</v>
      </c>
      <c r="N574" s="3" t="inlineStr">
        <is>
          <t>2</t>
        </is>
      </c>
      <c r="O574" s="3" t="inlineStr">
        <is>
          <t>-</t>
        </is>
      </c>
      <c r="P574" s="3" t="inlineStr">
        <is>
          <t>서세종 IC 인접, 태양광설치, 민원소지 적은곳</t>
        </is>
      </c>
      <c r="Q574" s="6">
        <f>HYPERLINK("https://fin.land.naver.com/articles/2654118503", "매물Link")</f>
        <v/>
      </c>
      <c r="R574" s="6">
        <f>HYPERLINK("https://map.naver.com/p/search/장군면 하봉리 182", "지도Link")</f>
        <v/>
      </c>
      <c r="S574" s="6">
        <f>HYPERLINK("http://www.eum.go.kr/web/ar/lu/luLandDet.jsp?pnu=3611035026101820000&amp;isNoScr=script&amp;mode=search", "토지이음")</f>
        <v/>
      </c>
      <c r="T574" s="3" t="inlineStr">
        <is>
          <t>부원</t>
        </is>
      </c>
      <c r="U574" s="4" t="n">
        <v>1</v>
      </c>
      <c r="V574" s="5" t="n">
        <v>117.3</v>
      </c>
      <c r="W574" s="4" t="n">
        <v>1438</v>
      </c>
      <c r="X574" s="3" t="inlineStr">
        <is>
          <t>미표기</t>
        </is>
      </c>
      <c r="Y574" s="7" t="inlineStr">
        <is>
          <t>2층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11.35m</t>
        </is>
      </c>
      <c r="AC574" s="3" t="inlineStr">
        <is>
          <t>2011-04</t>
        </is>
      </c>
      <c r="AD574" s="3" t="inlineStr">
        <is>
          <t>세로한면(가)</t>
        </is>
      </c>
    </row>
    <row r="575">
      <c r="A575" s="3" t="inlineStr">
        <is>
          <t>장군면 하봉리 182</t>
        </is>
      </c>
      <c r="B575" s="3" t="inlineStr">
        <is>
          <t>계획관리지역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매매</t>
        </is>
      </c>
      <c r="F575" s="4" t="n">
        <v>230000</v>
      </c>
      <c r="G575" s="4" t="n">
        <v>0</v>
      </c>
      <c r="H575" s="4" t="n">
        <v>3388</v>
      </c>
      <c r="I575" s="4" t="n">
        <v>1025</v>
      </c>
      <c r="J575" s="5" t="n">
        <v>224.4</v>
      </c>
      <c r="K575" s="4" t="n">
        <v>768</v>
      </c>
      <c r="L575" s="4" t="n">
        <v>232</v>
      </c>
      <c r="M575" s="5" t="n">
        <v>991.4</v>
      </c>
      <c r="N575" s="3" t="inlineStr">
        <is>
          <t>2</t>
        </is>
      </c>
      <c r="O575" s="3" t="inlineStr">
        <is>
          <t>-</t>
        </is>
      </c>
      <c r="P575" s="3" t="inlineStr">
        <is>
          <t>서세종IC 5분 세종시 장군면 귀한 공장 매매</t>
        </is>
      </c>
      <c r="Q575" s="6">
        <f>HYPERLINK("https://fin.land.naver.com/articles/2654666585", "매물Link")</f>
        <v/>
      </c>
      <c r="R575" s="6">
        <f>HYPERLINK("https://map.naver.com/p/search/장군면 하봉리 182", "지도Link")</f>
        <v/>
      </c>
      <c r="S575" s="6">
        <f>HYPERLINK("http://www.eum.go.kr/web/ar/lu/luLandDet.jsp?pnu=3611035026101820000&amp;isNoScr=script&amp;mode=search", "토지이음")</f>
        <v/>
      </c>
      <c r="T575" s="3" t="inlineStr">
        <is>
          <t>청담</t>
        </is>
      </c>
      <c r="U575" s="4" t="n">
        <v>2</v>
      </c>
      <c r="V575" s="5" t="n">
        <v>117.3</v>
      </c>
      <c r="W575" s="4" t="n">
        <v>1438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11.35m</t>
        </is>
      </c>
      <c r="AC575" s="3" t="inlineStr">
        <is>
          <t>2011-04</t>
        </is>
      </c>
      <c r="AD575" s="3" t="inlineStr">
        <is>
          <t>세로한면(가)</t>
        </is>
      </c>
    </row>
    <row r="576">
      <c r="A576" s="3" t="inlineStr">
        <is>
          <t>장군면 하봉리 182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230000</v>
      </c>
      <c r="G576" s="4" t="n">
        <v>0</v>
      </c>
      <c r="H576" s="4" t="n">
        <v>3388</v>
      </c>
      <c r="I576" s="4" t="n">
        <v>1025</v>
      </c>
      <c r="J576" s="5" t="n">
        <v>224.4</v>
      </c>
      <c r="K576" s="4" t="n">
        <v>768</v>
      </c>
      <c r="L576" s="4" t="n">
        <v>232</v>
      </c>
      <c r="M576" s="5" t="n">
        <v>991.4</v>
      </c>
      <c r="N576" s="3" t="inlineStr">
        <is>
          <t>2</t>
        </is>
      </c>
      <c r="O576" s="3" t="inlineStr">
        <is>
          <t>-</t>
        </is>
      </c>
      <c r="P576" s="3" t="inlineStr">
        <is>
          <t>태양광 100kw설치된 서세종IC 5분, 사무실 완비 공장 매매임대</t>
        </is>
      </c>
      <c r="Q576" s="6">
        <f>HYPERLINK("https://fin.land.naver.com/articles/2654665947", "매물Link")</f>
        <v/>
      </c>
      <c r="R576" s="6">
        <f>HYPERLINK("https://map.naver.com/p/search/장군면 하봉리 182", "지도Link")</f>
        <v/>
      </c>
      <c r="S576" s="6">
        <f>HYPERLINK("http://www.eum.go.kr/web/ar/lu/luLandDet.jsp?pnu=3611035026101820000&amp;isNoScr=script&amp;mode=search", "토지이음")</f>
        <v/>
      </c>
      <c r="T576" s="3" t="inlineStr">
        <is>
          <t>청담</t>
        </is>
      </c>
      <c r="U576" s="4" t="n">
        <v>1</v>
      </c>
      <c r="V576" s="5" t="n">
        <v>117.3</v>
      </c>
      <c r="W576" s="4" t="n">
        <v>1438</v>
      </c>
      <c r="X576" s="3" t="inlineStr">
        <is>
          <t>미표기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11.35m</t>
        </is>
      </c>
      <c r="AC576" s="3" t="inlineStr">
        <is>
          <t>2011-04</t>
        </is>
      </c>
      <c r="AD576" s="3" t="inlineStr">
        <is>
          <t>세로한면(가)</t>
        </is>
      </c>
    </row>
    <row r="577">
      <c r="A577" s="3" t="inlineStr">
        <is>
          <t>전동면 노장리 327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매매</t>
        </is>
      </c>
      <c r="F577" s="4" t="n">
        <v>105000</v>
      </c>
      <c r="G577" s="4" t="n">
        <v>0</v>
      </c>
      <c r="H577" s="4" t="n">
        <v>2165</v>
      </c>
      <c r="I577" s="4" t="n">
        <v>655</v>
      </c>
      <c r="J577" s="5" t="n">
        <v>160.3</v>
      </c>
      <c r="K577" s="4" t="n">
        <v>708</v>
      </c>
      <c r="L577" s="4" t="n">
        <v>214</v>
      </c>
      <c r="M577" s="5" t="n">
        <v>490.7</v>
      </c>
      <c r="N577" s="3" t="inlineStr">
        <is>
          <t>1</t>
        </is>
      </c>
      <c r="O577" s="3" t="inlineStr">
        <is>
          <t>-</t>
        </is>
      </c>
      <c r="P577" s="3" t="inlineStr">
        <is>
          <t>노장산업단지 인근 두필지 창고2동,주택</t>
        </is>
      </c>
      <c r="Q577" s="6">
        <f>HYPERLINK("https://fin.land.naver.com/articles/2655702841", "매물Link")</f>
        <v/>
      </c>
      <c r="R577" s="6">
        <f>HYPERLINK("https://map.naver.com/p/search/전동면 노장리 327", "지도Link")</f>
        <v/>
      </c>
      <c r="S577" s="6">
        <f>HYPERLINK("http://www.eum.go.kr/web/ar/lu/luLandDet.jsp?pnu=3611038021103270000&amp;isNoScr=script&amp;mode=search", "토지이음")</f>
        <v/>
      </c>
      <c r="T577" s="3" t="inlineStr">
        <is>
          <t>OK수</t>
        </is>
      </c>
      <c r="U577" s="4" t="n">
        <v>1</v>
      </c>
      <c r="V577" s="5" t="n">
        <v>45.8</v>
      </c>
      <c r="W577" s="4" t="n">
        <v>993</v>
      </c>
      <c r="X577" s="3" t="inlineStr">
        <is>
          <t>2동</t>
        </is>
      </c>
      <c r="Y577" s="7" t="inlineStr">
        <is>
          <t>1층</t>
        </is>
      </c>
      <c r="Z577" s="3" t="inlineStr">
        <is>
          <t>경량철골구조</t>
        </is>
      </c>
      <c r="AA577" s="3" t="inlineStr">
        <is>
          <t>단독주택</t>
        </is>
      </c>
      <c r="AB577" s="3" t="inlineStr">
        <is>
          <t>-</t>
        </is>
      </c>
      <c r="AC577" s="3" t="inlineStr">
        <is>
          <t>2002-10</t>
        </is>
      </c>
      <c r="AD577" s="3" t="inlineStr">
        <is>
          <t>세로한면(가)</t>
        </is>
      </c>
    </row>
    <row r="578">
      <c r="A578" s="3" t="inlineStr">
        <is>
          <t>전동면 노장리 512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공장</t>
        </is>
      </c>
      <c r="E578" s="3" t="inlineStr">
        <is>
          <t>매매</t>
        </is>
      </c>
      <c r="F578" s="4" t="n">
        <v>150000</v>
      </c>
      <c r="G578" s="4" t="n">
        <v>0</v>
      </c>
      <c r="H578" s="4" t="n">
        <v>346</v>
      </c>
      <c r="I578" s="4" t="n">
        <v>105</v>
      </c>
      <c r="J578" s="5" t="n">
        <v>1428.6</v>
      </c>
      <c r="K578" s="4" t="n">
        <v>346</v>
      </c>
      <c r="L578" s="4" t="n">
        <v>105</v>
      </c>
      <c r="M578" s="5" t="n">
        <v>1428.6</v>
      </c>
      <c r="N578" s="3" t="inlineStr">
        <is>
          <t>1</t>
        </is>
      </c>
      <c r="O578" s="3" t="inlineStr">
        <is>
          <t>B1</t>
        </is>
      </c>
      <c r="P578" s="3" t="inlineStr">
        <is>
          <t>2차선 도로와 연접한 철골제작 공장 임대도 가능</t>
        </is>
      </c>
      <c r="Q578" s="6">
        <f>HYPERLINK("https://fin.land.naver.com/articles/2654678711", "매물Link")</f>
        <v/>
      </c>
      <c r="R578" s="6">
        <f>HYPERLINK("https://map.naver.com/p/search/전동면 노장리 512", "지도Link")</f>
        <v/>
      </c>
      <c r="S578" s="6">
        <f>HYPERLINK("http://www.eum.go.kr/web/ar/lu/luLandDet.jsp?pnu=3611038021105120000&amp;isNoScr=script&amp;mode=search",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73</v>
      </c>
      <c r="W578" s="4" t="n">
        <v>996</v>
      </c>
      <c r="X578" s="3" t="inlineStr">
        <is>
          <t>미표기</t>
        </is>
      </c>
      <c r="Y578" s="7" t="inlineStr">
        <is>
          <t>1층</t>
        </is>
      </c>
      <c r="Z578" s="3" t="inlineStr">
        <is>
          <t>경량철골구조</t>
        </is>
      </c>
      <c r="AA578" s="3" t="inlineStr">
        <is>
          <t>단독주택</t>
        </is>
      </c>
      <c r="AB578" s="3" t="inlineStr">
        <is>
          <t>-</t>
        </is>
      </c>
      <c r="AC578" s="3" t="inlineStr">
        <is>
          <t>1989</t>
        </is>
      </c>
      <c r="AD578" s="3" t="inlineStr">
        <is>
          <t>소로한면</t>
        </is>
      </c>
    </row>
    <row r="579">
      <c r="A579" s="3" t="inlineStr">
        <is>
          <t>전동면 미곡리 450</t>
        </is>
      </c>
      <c r="B579" s="3" t="inlineStr">
        <is>
          <t>생산관리지역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72000</v>
      </c>
      <c r="G579" s="4" t="n">
        <v>0</v>
      </c>
      <c r="H579" s="4" t="n">
        <v>2377</v>
      </c>
      <c r="I579" s="4" t="n">
        <v>719</v>
      </c>
      <c r="J579" s="5" t="n">
        <v>100.1</v>
      </c>
      <c r="K579" s="4" t="n">
        <v>950</v>
      </c>
      <c r="L579" s="4" t="n">
        <v>287</v>
      </c>
      <c r="M579" s="5" t="n">
        <v>250.9</v>
      </c>
      <c r="N579" s="3" t="inlineStr">
        <is>
          <t>1</t>
        </is>
      </c>
      <c r="O579" s="3" t="inlineStr">
        <is>
          <t>-</t>
        </is>
      </c>
      <c r="P579" s="3" t="inlineStr">
        <is>
          <t>토지719,건물288,천고4미터, 단독공장</t>
        </is>
      </c>
      <c r="Q579" s="6">
        <f>HYPERLINK("https://fin.land.naver.com/articles/2653368728", "매물Link")</f>
        <v/>
      </c>
      <c r="R579" s="6">
        <f>HYPERLINK("https://map.naver.com/p/search/전동면 미곡리 450", "지도Link")</f>
        <v/>
      </c>
      <c r="S579" s="6">
        <f>HYPERLINK("http://www.eum.go.kr/web/ar/lu/luLandDet.jsp?pnu=3611038029104500000&amp;isNoScr=script&amp;mode=search", "토지이음")</f>
        <v/>
      </c>
      <c r="T579" s="3" t="inlineStr">
        <is>
          <t>복두꺼비</t>
        </is>
      </c>
      <c r="U579" s="4" t="n">
        <v>1</v>
      </c>
      <c r="V579" s="5" t="n">
        <v>37.9</v>
      </c>
      <c r="W579" s="4" t="n">
        <v>2377</v>
      </c>
      <c r="X579" s="3" t="inlineStr">
        <is>
          <t>미표기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10.0m</t>
        </is>
      </c>
      <c r="AC579" s="3" t="inlineStr">
        <is>
          <t>2002-04</t>
        </is>
      </c>
      <c r="AD579" s="3" t="inlineStr">
        <is>
          <t>세로한면(가)</t>
        </is>
      </c>
    </row>
    <row r="580">
      <c r="A580" s="3" t="inlineStr">
        <is>
          <t>전동면 봉대리 60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30000</v>
      </c>
      <c r="G580" s="4" t="n">
        <v>2970</v>
      </c>
      <c r="H580" s="4" t="n">
        <v>7215</v>
      </c>
      <c r="I580" s="4" t="n">
        <v>2183</v>
      </c>
      <c r="J580" s="5" t="n">
        <v>1.4</v>
      </c>
      <c r="K580" s="4" t="n">
        <v>4462</v>
      </c>
      <c r="L580" s="4" t="n">
        <v>1350</v>
      </c>
      <c r="M580" s="5" t="n">
        <v>2.2</v>
      </c>
      <c r="N580" s="3" t="inlineStr">
        <is>
          <t>1</t>
        </is>
      </c>
      <c r="O580" s="3" t="inlineStr">
        <is>
          <t>-</t>
        </is>
      </c>
      <c r="P580" s="3" t="inlineStr">
        <is>
          <t>바닥, 지붕 리모델링, 관리비 없음, 노장농공단지 인근, 넓은 마당</t>
        </is>
      </c>
      <c r="Q580" s="6">
        <f>HYPERLINK("https://fin.land.naver.com/articles/2652115526", "매물Link")</f>
        <v/>
      </c>
      <c r="R580" s="6">
        <f>HYPERLINK("https://map.naver.com/p/search/전동면 봉대리 60", "지도Link")</f>
        <v/>
      </c>
      <c r="S580" s="6">
        <f>HYPERLINK("http://www.eum.go.kr/web/ar/lu/luLandDet.jsp?pnu=3611038022100600000&amp;isNoScr=script&amp;mode=search", "토지이음")</f>
        <v/>
      </c>
      <c r="T580" s="3" t="inlineStr">
        <is>
          <t>(주)미르</t>
        </is>
      </c>
      <c r="U580" s="4" t="n">
        <v>1</v>
      </c>
      <c r="V580" s="5" t="n">
        <v>65.09999999999999</v>
      </c>
      <c r="W580" s="4" t="n">
        <v>7215</v>
      </c>
      <c r="X580" s="3" t="inlineStr">
        <is>
          <t>미표기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1991-03</t>
        </is>
      </c>
      <c r="AD580" s="3" t="inlineStr">
        <is>
          <t>소로각지</t>
        </is>
      </c>
    </row>
    <row r="581">
      <c r="A581" s="3" t="inlineStr">
        <is>
          <t>전동면 송곡리 285-42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80000</v>
      </c>
      <c r="G581" s="4" t="n">
        <v>0</v>
      </c>
      <c r="H581" s="4" t="n">
        <v>919</v>
      </c>
      <c r="I581" s="4" t="n">
        <v>278</v>
      </c>
      <c r="J581" s="5" t="n">
        <v>287.8</v>
      </c>
      <c r="K581" s="4" t="n">
        <v>272</v>
      </c>
      <c r="L581" s="4" t="n">
        <v>82</v>
      </c>
      <c r="M581" s="5" t="n">
        <v>975.6</v>
      </c>
      <c r="N581" s="3" t="inlineStr">
        <is>
          <t>2</t>
        </is>
      </c>
      <c r="O581" s="3" t="inlineStr">
        <is>
          <t>-</t>
        </is>
      </c>
      <c r="P581" s="3" t="inlineStr">
        <is>
          <t>2차선 인근에 있는 공장건물 1동과 사무실로 이용하는 2층건물 일괄매매</t>
        </is>
      </c>
      <c r="Q581" s="6">
        <f>HYPERLINK("https://fin.land.naver.com/articles/2653852073", "매물Link")</f>
        <v/>
      </c>
      <c r="R581" s="6">
        <f>HYPERLINK("https://map.naver.com/p/search/전동면 송곡리 285-42", "지도Link")</f>
        <v/>
      </c>
      <c r="S581" s="6">
        <f>HYPERLINK("http://www.eum.go.kr/web/ar/lu/luLandDet.jsp?pnu=3611038026102850042&amp;isNoScr=script&amp;mode=search",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55</v>
      </c>
      <c r="W581" s="4" t="n">
        <v>664</v>
      </c>
      <c r="X581" s="3" t="inlineStr">
        <is>
          <t>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8.2m</t>
        </is>
      </c>
      <c r="AC581" s="3" t="inlineStr">
        <is>
          <t>2014-03</t>
        </is>
      </c>
      <c r="AD581" s="3" t="inlineStr">
        <is>
          <t>세로한면(가)</t>
        </is>
      </c>
    </row>
    <row r="582">
      <c r="A582" s="3" t="inlineStr">
        <is>
          <t>전동면 송성리 675-1</t>
        </is>
      </c>
      <c r="B582" s="3" t="inlineStr">
        <is>
          <t>생산관리지역</t>
        </is>
      </c>
      <c r="C582" s="3" t="inlineStr">
        <is>
          <t>공장용지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3000</v>
      </c>
      <c r="G582" s="4" t="n">
        <v>300</v>
      </c>
      <c r="H582" s="4" t="n">
        <v>4621</v>
      </c>
      <c r="I582" s="4" t="n">
        <v>1398</v>
      </c>
      <c r="J582" s="5" t="n">
        <v>0.2</v>
      </c>
      <c r="K582" s="4" t="n">
        <v>606</v>
      </c>
      <c r="L582" s="4" t="n">
        <v>183</v>
      </c>
      <c r="M582" s="5" t="n">
        <v>1.6</v>
      </c>
      <c r="N582" s="3" t="inlineStr">
        <is>
          <t>1</t>
        </is>
      </c>
      <c r="O582" s="3" t="inlineStr">
        <is>
          <t>-</t>
        </is>
      </c>
      <c r="P582" s="3" t="inlineStr">
        <is>
          <t>세종,천안,조치원,오송  접근성과 입지 좋은 공장창고입니다.</t>
        </is>
      </c>
      <c r="Q582" s="6">
        <f>HYPERLINK("https://fin.land.naver.com/articles/2651886616", "매물Link")</f>
        <v/>
      </c>
      <c r="R582" s="6">
        <f>HYPERLINK("https://map.naver.com/p/search/전동면 송성리 675-1", "지도Link")</f>
        <v/>
      </c>
      <c r="S582" s="6">
        <f>HYPERLINK("http://www.eum.go.kr/web/ar/lu/luLandDet.jsp?pnu=3611038030106750001&amp;isNoScr=script&amp;mode=search", "토지이음")</f>
        <v/>
      </c>
      <c r="T582" s="3" t="inlineStr">
        <is>
          <t>천안다온</t>
        </is>
      </c>
      <c r="U582" s="4" t="n">
        <v>1</v>
      </c>
      <c r="V582" s="5" t="n">
        <v>22</v>
      </c>
      <c r="W582" s="4" t="n">
        <v>4485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-</t>
        </is>
      </c>
      <c r="AC582" s="3" t="inlineStr">
        <is>
          <t>1992-12</t>
        </is>
      </c>
      <c r="AD582" s="3" t="inlineStr">
        <is>
          <t>세로한면(가)</t>
        </is>
      </c>
    </row>
    <row r="583">
      <c r="A583" s="3" t="inlineStr">
        <is>
          <t>전동면 심중리 466-3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85000</v>
      </c>
      <c r="G583" s="4" t="n">
        <v>0</v>
      </c>
      <c r="H583" s="4" t="n">
        <v>578</v>
      </c>
      <c r="I583" s="4" t="n">
        <v>175</v>
      </c>
      <c r="J583" s="5" t="n">
        <v>485.7</v>
      </c>
      <c r="K583" s="4" t="n">
        <v>208</v>
      </c>
      <c r="L583" s="4" t="n">
        <v>63</v>
      </c>
      <c r="M583" s="5" t="n">
        <v>1349.2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 연접 대형 차량 진.출입 원활 호이스트 3기 설치</t>
        </is>
      </c>
      <c r="Q583" s="6">
        <f>HYPERLINK("https://fin.land.naver.com/articles/2654678844", "매물Link")</f>
        <v/>
      </c>
      <c r="R583" s="6">
        <f>HYPERLINK("https://map.naver.com/p/search/전동면 심중리 466-3", "지도Link")</f>
        <v/>
      </c>
      <c r="S583" s="6">
        <f>HYPERLINK("http://www.eum.go.kr/web/ar/lu/luLandDet.jsp?pnu=3611038031104660003&amp;isNoScr=script&amp;mode=search",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81.40000000000001</v>
      </c>
      <c r="W583" s="4" t="n">
        <v>185</v>
      </c>
      <c r="X583" s="3" t="inlineStr">
        <is>
          <t>미표기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7.4m</t>
        </is>
      </c>
      <c r="AC583" s="3" t="inlineStr">
        <is>
          <t>2002-12</t>
        </is>
      </c>
      <c r="AD583" s="3" t="inlineStr">
        <is>
          <t>소로한면</t>
        </is>
      </c>
    </row>
    <row r="584">
      <c r="A584" s="3" t="inlineStr">
        <is>
          <t>전동면 심중리 466-3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85000</v>
      </c>
      <c r="G584" s="4" t="n">
        <v>0</v>
      </c>
      <c r="H584" s="4" t="n">
        <v>578</v>
      </c>
      <c r="I584" s="4" t="n">
        <v>175</v>
      </c>
      <c r="J584" s="5" t="n">
        <v>485.7</v>
      </c>
      <c r="K584" s="4" t="n">
        <v>208</v>
      </c>
      <c r="L584" s="4" t="n">
        <v>63</v>
      </c>
      <c r="M584" s="5" t="n">
        <v>1349.2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도로에 접한 계획관리지역의 대지와 공장 및 호이스트 5톤과 3톤</t>
        </is>
      </c>
      <c r="Q584" s="6">
        <f>HYPERLINK("https://fin.land.naver.com/articles/2655062460", "매물Link")</f>
        <v/>
      </c>
      <c r="R584" s="6">
        <f>HYPERLINK("https://map.naver.com/p/search/전동면 심중리 466-3", "지도Link")</f>
        <v/>
      </c>
      <c r="S584" s="6">
        <f>HYPERLINK("http://www.eum.go.kr/web/ar/lu/luLandDet.jsp?pnu=3611038031104660003&amp;isNoScr=script&amp;mode=search", "토지이음")</f>
        <v/>
      </c>
      <c r="T584" s="3" t="inlineStr">
        <is>
          <t>스마일세종</t>
        </is>
      </c>
      <c r="U584" s="4" t="n">
        <v>1</v>
      </c>
      <c r="V584" s="5" t="n">
        <v>81.40000000000001</v>
      </c>
      <c r="W584" s="4" t="n">
        <v>185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7.4m</t>
        </is>
      </c>
      <c r="AC584" s="3" t="inlineStr">
        <is>
          <t>2002-12</t>
        </is>
      </c>
      <c r="AD584" s="3" t="inlineStr">
        <is>
          <t>소로한면</t>
        </is>
      </c>
    </row>
    <row r="585">
      <c r="A585" s="3" t="inlineStr">
        <is>
          <t>전동면 심중리 487-17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225000</v>
      </c>
      <c r="G585" s="4" t="n">
        <v>0</v>
      </c>
      <c r="H585" s="4" t="n">
        <v>2314</v>
      </c>
      <c r="I585" s="4" t="n">
        <v>700</v>
      </c>
      <c r="J585" s="5" t="n">
        <v>321.4</v>
      </c>
      <c r="K585" s="4" t="n">
        <v>628</v>
      </c>
      <c r="L585" s="4" t="n">
        <v>190</v>
      </c>
      <c r="M585" s="5" t="n">
        <v>1184.2</v>
      </c>
      <c r="N585" s="3" t="inlineStr">
        <is>
          <t>2</t>
        </is>
      </c>
      <c r="O585" s="3" t="inlineStr">
        <is>
          <t>-</t>
        </is>
      </c>
      <c r="P585" s="3" t="inlineStr">
        <is>
          <t>전동면 심중리 계획관리지역 공장용지 매매</t>
        </is>
      </c>
      <c r="Q585" s="6">
        <f>HYPERLINK("https://fin.land.naver.com/articles/2653160108", "매물Link")</f>
        <v/>
      </c>
      <c r="R585" s="6">
        <f>HYPERLINK("https://map.naver.com/p/search/전동면 심중리 487-17", "지도Link")</f>
        <v/>
      </c>
      <c r="S585" s="6">
        <f>HYPERLINK("http://www.eum.go.kr/web/ar/lu/luLandDet.jsp?pnu=3611038031104870017&amp;isNoScr=script&amp;mode=search", "토지이음")</f>
        <v/>
      </c>
      <c r="T585" s="3" t="inlineStr">
        <is>
          <t>스타트</t>
        </is>
      </c>
      <c r="U585" s="4" t="n">
        <v>1</v>
      </c>
      <c r="V585" s="5" t="n">
        <v>68</v>
      </c>
      <c r="W585" s="4" t="n">
        <v>2314</v>
      </c>
      <c r="X585" s="3" t="inlineStr">
        <is>
          <t>2동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8.9m</t>
        </is>
      </c>
      <c r="AC585" s="3" t="inlineStr">
        <is>
          <t>2005-12</t>
        </is>
      </c>
      <c r="AD585" s="3" t="inlineStr">
        <is>
          <t>세로한면(가)</t>
        </is>
      </c>
    </row>
    <row r="586">
      <c r="A586" s="3" t="inlineStr">
        <is>
          <t>전의면 신정리 476-12</t>
        </is>
      </c>
      <c r="B586" s="3" t="inlineStr">
        <is>
          <t>농림지역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260000</v>
      </c>
      <c r="G586" s="4" t="n">
        <v>0</v>
      </c>
      <c r="H586" s="4" t="n">
        <v>8431</v>
      </c>
      <c r="I586" s="4" t="n">
        <v>2550</v>
      </c>
      <c r="J586" s="5" t="n">
        <v>102</v>
      </c>
      <c r="K586" s="4" t="n">
        <v>1228</v>
      </c>
      <c r="L586" s="4" t="n">
        <v>371</v>
      </c>
      <c r="M586" s="5" t="n">
        <v>700.8</v>
      </c>
      <c r="N586" s="3" t="inlineStr">
        <is>
          <t>2</t>
        </is>
      </c>
      <c r="O586" s="3" t="inlineStr">
        <is>
          <t>-</t>
        </is>
      </c>
      <c r="P586" s="3" t="inlineStr">
        <is>
          <t>세종시 전의면 신정리  계획관리지역내 폐기물재활용시설 제조공장 매도</t>
        </is>
      </c>
      <c r="Q586" s="6">
        <f>HYPERLINK("https://fin.land.naver.com/articles/2650901688", "매물Link")</f>
        <v/>
      </c>
      <c r="R586" s="6">
        <f>HYPERLINK("https://map.naver.com/p/search/전의면 신정리 476-12", "지도Link")</f>
        <v/>
      </c>
      <c r="S586" s="6">
        <f>HYPERLINK("http://www.eum.go.kr/web/ar/lu/luLandDet.jsp?pnu=3611037028104760012&amp;isNoScr=script&amp;mode=search", "토지이음")</f>
        <v/>
      </c>
      <c r="T586" s="3" t="inlineStr">
        <is>
          <t>리얼바인</t>
        </is>
      </c>
      <c r="U586" s="4" t="n">
        <v>1</v>
      </c>
      <c r="V586" s="5" t="n">
        <v>27</v>
      </c>
      <c r="W586" s="4" t="n">
        <v>6209</v>
      </c>
      <c r="X586" s="3" t="inlineStr">
        <is>
          <t>2동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8.9m</t>
        </is>
      </c>
      <c r="AC586" s="3" t="inlineStr">
        <is>
          <t>2008-09</t>
        </is>
      </c>
      <c r="AD586" s="3" t="inlineStr">
        <is>
          <t>세로한면(가)</t>
        </is>
      </c>
    </row>
    <row r="587">
      <c r="A587" s="3" t="inlineStr">
        <is>
          <t>전의면 신흥리 96-1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3400000</v>
      </c>
      <c r="G587" s="4" t="n">
        <v>0</v>
      </c>
      <c r="H587" s="4" t="n">
        <v>55659</v>
      </c>
      <c r="I587" s="4" t="n">
        <v>16837</v>
      </c>
      <c r="J587" s="5" t="n">
        <v>201.9</v>
      </c>
      <c r="K587" s="4" t="n">
        <v>6916</v>
      </c>
      <c r="L587" s="4" t="n">
        <v>2092</v>
      </c>
      <c r="M587" s="5" t="n">
        <v>1625.2</v>
      </c>
      <c r="N587" s="3" t="inlineStr">
        <is>
          <t>2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HYPERLINK("https://fin.land.naver.com/articles/2654321549", "매물Link")</f>
        <v/>
      </c>
      <c r="R587" s="6">
        <f>HYPERLINK("https://map.naver.com/p/search/전의면 신흥리 96-1", "지도Link")</f>
        <v/>
      </c>
      <c r="S587" s="6">
        <f>HYPERLINK("http://www.eum.go.kr/web/ar/lu/luLandDet.jsp?pnu=3611037025100960001&amp;isNoScr=script&amp;mode=search", "토지이음")</f>
        <v/>
      </c>
      <c r="T587" s="3" t="inlineStr">
        <is>
          <t>주식회사플래티넘파트너스</t>
        </is>
      </c>
      <c r="U587" s="4" t="n">
        <v>1</v>
      </c>
      <c r="V587" s="5" t="n">
        <v>75</v>
      </c>
      <c r="W587" s="4" t="n">
        <v>48485</v>
      </c>
      <c r="X587" s="3" t="inlineStr">
        <is>
          <t>부2동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공장</t>
        </is>
      </c>
      <c r="AB587" s="3" t="inlineStr">
        <is>
          <t>2.7m</t>
        </is>
      </c>
      <c r="AC587" s="3" t="inlineStr">
        <is>
          <t>2018-12</t>
        </is>
      </c>
      <c r="AD587" s="3" t="inlineStr">
        <is>
          <t>소로한면</t>
        </is>
      </c>
    </row>
    <row r="588">
      <c r="A588" s="3" t="inlineStr">
        <is>
          <t>전의면 유천리 285-8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110000</v>
      </c>
      <c r="G588" s="4" t="n">
        <v>0</v>
      </c>
      <c r="H588" s="4" t="n">
        <v>2620</v>
      </c>
      <c r="I588" s="4" t="n">
        <v>793</v>
      </c>
      <c r="J588" s="5" t="n">
        <v>138.7</v>
      </c>
      <c r="K588" s="4" t="n">
        <v>587</v>
      </c>
      <c r="L588" s="4" t="n">
        <v>178</v>
      </c>
      <c r="M588" s="5" t="n">
        <v>618</v>
      </c>
      <c r="N588" s="3" t="inlineStr">
        <is>
          <t>1</t>
        </is>
      </c>
      <c r="O588" s="3" t="inlineStr">
        <is>
          <t>-</t>
        </is>
      </c>
      <c r="P588" s="3" t="inlineStr">
        <is>
          <t>유천리 마을 안쪽에 있어 민원이 많지 않은 공장용 건물과 대지를 일괄매매</t>
        </is>
      </c>
      <c r="Q588" s="6">
        <f>HYPERLINK("https://fin.land.naver.com/articles/2653245460", "매물Link")</f>
        <v/>
      </c>
      <c r="R588" s="6">
        <f>HYPERLINK("https://map.naver.com/p/search/전의면 유천리 285-8", "지도Link")</f>
        <v/>
      </c>
      <c r="S588" s="6">
        <f>HYPERLINK("http://www.eum.go.kr/web/ar/lu/luLandDet.jsp?pnu=3611037026102850008&amp;isNoScr=script&amp;mode=search", "토지이음")</f>
        <v/>
      </c>
      <c r="T588" s="3" t="inlineStr">
        <is>
          <t>스마일세종</t>
        </is>
      </c>
      <c r="U588" s="4" t="n">
        <v>1</v>
      </c>
      <c r="V588" s="5" t="n">
        <v>47.2</v>
      </c>
      <c r="W588" s="4" t="n">
        <v>2034</v>
      </c>
      <c r="X588" s="3" t="inlineStr">
        <is>
          <t>5동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9.5m</t>
        </is>
      </c>
      <c r="AC588" s="3" t="inlineStr">
        <is>
          <t>2014-08</t>
        </is>
      </c>
      <c r="AD588" s="3" t="inlineStr">
        <is>
          <t>세로한면(가)</t>
        </is>
      </c>
    </row>
    <row r="589">
      <c r="A589" s="3" t="inlineStr">
        <is>
          <t>전의면 유천리 296-13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4748</v>
      </c>
      <c r="I589" s="4" t="n">
        <v>1436</v>
      </c>
      <c r="J589" s="5" t="n">
        <v>104.5</v>
      </c>
      <c r="K589" s="4" t="n">
        <v>549</v>
      </c>
      <c r="L589" s="4" t="n">
        <v>166</v>
      </c>
      <c r="M589" s="5" t="n">
        <v>903.6</v>
      </c>
      <c r="N589" s="3" t="inlineStr">
        <is>
          <t>1</t>
        </is>
      </c>
      <c r="O589" s="3" t="inlineStr">
        <is>
          <t>-</t>
        </is>
      </c>
      <c r="P589" s="3" t="inlineStr">
        <is>
          <t>민원 없는 단독 공장 제조업및 물류창고로 추천 추가 건축가능</t>
        </is>
      </c>
      <c r="Q589" s="6">
        <f>HYPERLINK("https://fin.land.naver.com/articles/2652175950", "매물Link")</f>
        <v/>
      </c>
      <c r="R589" s="6">
        <f>HYPERLINK("https://map.naver.com/p/search/전의면 유천리 296-13", "지도Link")</f>
        <v/>
      </c>
      <c r="S589" s="6">
        <f>HYPERLINK("http://www.eum.go.kr/web/ar/lu/luLandDet.jsp?pnu=3611037026102960013&amp;isNoScr=script&amp;mode=search",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50.8</v>
      </c>
      <c r="W589" s="4" t="n">
        <v>4748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9.7m</t>
        </is>
      </c>
      <c r="AC589" s="3" t="inlineStr">
        <is>
          <t>2013-12</t>
        </is>
      </c>
      <c r="AD589" s="3" t="inlineStr">
        <is>
          <t>세로한면(가)</t>
        </is>
      </c>
    </row>
    <row r="590">
      <c r="A590" s="3" t="inlineStr">
        <is>
          <t>전의면 유천리 303-22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1000</v>
      </c>
      <c r="G590" s="4" t="n">
        <v>100</v>
      </c>
      <c r="H590" s="4" t="n">
        <v>1470</v>
      </c>
      <c r="I590" s="4" t="n">
        <v>445</v>
      </c>
      <c r="J590" s="5" t="n">
        <v>0.2</v>
      </c>
      <c r="K590" s="4" t="n">
        <v>173</v>
      </c>
      <c r="L590" s="4" t="n">
        <v>52</v>
      </c>
      <c r="M590" s="5" t="n">
        <v>1.9</v>
      </c>
      <c r="N590" s="3" t="inlineStr">
        <is>
          <t>1</t>
        </is>
      </c>
      <c r="O590" s="3" t="inlineStr">
        <is>
          <t>-</t>
        </is>
      </c>
      <c r="P590" s="3" t="inlineStr">
        <is>
          <t>세종 전의면 저렴한 1종근생 창고 임대대형차 진입 용이즉시입주</t>
        </is>
      </c>
      <c r="Q590" s="6">
        <f>HYPERLINK("https://fin.land.naver.com/articles/2653952115", "매물Link")</f>
        <v/>
      </c>
      <c r="R590" s="6">
        <f>HYPERLINK("https://map.naver.com/p/search/전의면 유천리 303-22", "지도Link")</f>
        <v/>
      </c>
      <c r="S590" s="6">
        <f>HYPERLINK("http://www.eum.go.kr/web/ar/lu/luLandDet.jsp?pnu=3611037026103030022&amp;isNoScr=script&amp;mode=search", "토지이음")</f>
        <v/>
      </c>
      <c r="T590" s="3" t="inlineStr">
        <is>
          <t>고르다</t>
        </is>
      </c>
      <c r="U590" s="4" t="n">
        <v>1</v>
      </c>
      <c r="V590" s="5" t="n">
        <v>36.6</v>
      </c>
      <c r="W590" s="4" t="n">
        <v>1470</v>
      </c>
      <c r="X590" s="3" t="inlineStr">
        <is>
          <t>주건축물제1동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제1종근생</t>
        </is>
      </c>
      <c r="AB590" s="3" t="inlineStr">
        <is>
          <t>7.69m</t>
        </is>
      </c>
      <c r="AC590" s="3" t="inlineStr">
        <is>
          <t>2022-04</t>
        </is>
      </c>
      <c r="AD590" s="3" t="inlineStr">
        <is>
          <t>소로한면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단독 공장 창고 제조업 2종근생 임대</t>
        </is>
      </c>
      <c r="Q591" s="6">
        <f>HYPERLINK("https://fin.land.naver.com/articles/2651733829",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THE행복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유천리 537-16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350</v>
      </c>
      <c r="H592" s="4" t="n">
        <v>1246</v>
      </c>
      <c r="I592" s="4" t="n">
        <v>377</v>
      </c>
      <c r="J592" s="5" t="n">
        <v>0.9</v>
      </c>
      <c r="K592" s="4" t="n">
        <v>472</v>
      </c>
      <c r="L592" s="4" t="n">
        <v>143</v>
      </c>
      <c r="M592" s="5" t="n">
        <v>2.4</v>
      </c>
      <c r="N592" s="3" t="inlineStr">
        <is>
          <t>1</t>
        </is>
      </c>
      <c r="O592" s="3" t="inlineStr">
        <is>
          <t>-</t>
        </is>
      </c>
      <c r="P592" s="3" t="inlineStr">
        <is>
          <t>nan</t>
        </is>
      </c>
      <c r="Q592" s="6">
        <f>HYPERLINK("https://fin.land.naver.com/articles/2656199666", "매물Link")</f>
        <v/>
      </c>
      <c r="R592" s="6">
        <f>HYPERLINK("https://map.naver.com/p/search/전의면 유천리 537-16", "지도Link")</f>
        <v/>
      </c>
      <c r="S592" s="6">
        <f>HYPERLINK("http://www.eum.go.kr/web/ar/lu/luLandDet.jsp?pnu=3611037026105370016&amp;isNoScr=script&amp;mode=search", "토지이음")</f>
        <v/>
      </c>
      <c r="T592" s="3" t="inlineStr">
        <is>
          <t>북세종</t>
        </is>
      </c>
      <c r="U592" s="4" t="n">
        <v>2</v>
      </c>
      <c r="V592" s="5" t="n">
        <v>108.6</v>
      </c>
      <c r="W592" s="4" t="n">
        <v>1246</v>
      </c>
      <c r="X592" s="3" t="inlineStr">
        <is>
          <t>주1동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9.9m</t>
        </is>
      </c>
      <c r="AC592" s="3" t="inlineStr">
        <is>
          <t>2016-10</t>
        </is>
      </c>
      <c r="AD592" s="3" t="inlineStr">
        <is>
          <t>세로한면(가)</t>
        </is>
      </c>
    </row>
    <row r="593">
      <c r="A593" s="3" t="inlineStr">
        <is>
          <t>전의면 유천리 537-16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350</v>
      </c>
      <c r="H593" s="4" t="n">
        <v>1246</v>
      </c>
      <c r="I593" s="4" t="n">
        <v>377</v>
      </c>
      <c r="J593" s="5" t="n">
        <v>0.9</v>
      </c>
      <c r="K593" s="4" t="n">
        <v>474</v>
      </c>
      <c r="L593" s="4" t="n">
        <v>143</v>
      </c>
      <c r="M593" s="5" t="n">
        <v>2.4</v>
      </c>
      <c r="N593" s="3" t="inlineStr">
        <is>
          <t>1</t>
        </is>
      </c>
      <c r="O593" s="3" t="inlineStr">
        <is>
          <t>-</t>
        </is>
      </c>
      <c r="P593" s="3" t="inlineStr">
        <is>
          <t>공장임대</t>
        </is>
      </c>
      <c r="Q593" s="6">
        <f>HYPERLINK("https://fin.land.naver.com/articles/2652599291", "매물Link")</f>
        <v/>
      </c>
      <c r="R593" s="6">
        <f>HYPERLINK("https://map.naver.com/p/search/전의면 유천리 537-16", "지도Link")</f>
        <v/>
      </c>
      <c r="S593" s="6">
        <f>HYPERLINK("http://www.eum.go.kr/web/ar/lu/luLandDet.jsp?pnu=3611037026105370016&amp;isNoScr=script&amp;mode=search", "토지이음")</f>
        <v/>
      </c>
      <c r="T593" s="3" t="inlineStr">
        <is>
          <t>김준희</t>
        </is>
      </c>
      <c r="U593" s="4" t="n">
        <v>1</v>
      </c>
      <c r="V593" s="5" t="n">
        <v>108.6</v>
      </c>
      <c r="W593" s="4" t="n">
        <v>1246</v>
      </c>
      <c r="X593" s="3" t="inlineStr">
        <is>
          <t>주1동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9.9m</t>
        </is>
      </c>
      <c r="AC593" s="3" t="inlineStr">
        <is>
          <t>2016-10</t>
        </is>
      </c>
      <c r="AD593" s="3" t="inlineStr">
        <is>
          <t>세로한면(가)</t>
        </is>
      </c>
    </row>
    <row r="594">
      <c r="A594" s="3" t="inlineStr">
        <is>
          <t>전의면 읍내리 315-20</t>
        </is>
      </c>
      <c r="B594" s="3" t="inlineStr">
        <is>
          <t>보전관리지역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400000</v>
      </c>
      <c r="G594" s="4" t="n">
        <v>0</v>
      </c>
      <c r="H594" s="4" t="n">
        <v>4035</v>
      </c>
      <c r="I594" s="4" t="n">
        <v>1221</v>
      </c>
      <c r="J594" s="5" t="n">
        <v>327.6</v>
      </c>
      <c r="K594" s="4" t="n">
        <v>1728</v>
      </c>
      <c r="L594" s="4" t="n">
        <v>523</v>
      </c>
      <c r="M594" s="5" t="n">
        <v>764.8</v>
      </c>
      <c r="N594" s="3" t="inlineStr">
        <is>
          <t>2</t>
        </is>
      </c>
      <c r="O594" s="3" t="inlineStr">
        <is>
          <t>-</t>
        </is>
      </c>
      <c r="P594" s="3" t="inlineStr">
        <is>
          <t>위치좋고 도로접한 창고 및 사무실 숙소</t>
        </is>
      </c>
      <c r="Q594" s="6">
        <f>HYPERLINK("https://fin.land.naver.com/articles/2654544332", "매물Link")</f>
        <v/>
      </c>
      <c r="R594" s="6">
        <f>HYPERLINK("https://map.naver.com/p/search/전의면 읍내리 315-20", "지도Link")</f>
        <v/>
      </c>
      <c r="S594" s="6">
        <f>HYPERLINK("http://www.eum.go.kr/web/ar/lu/luLandDet.jsp?pnu=3611037021103150020&amp;isNoScr=script&amp;mode=search", "토지이음")</f>
        <v/>
      </c>
      <c r="T594" s="3" t="inlineStr">
        <is>
          <t>세종나라</t>
        </is>
      </c>
      <c r="U594" s="4" t="n">
        <v>1</v>
      </c>
      <c r="V594" s="5" t="n">
        <v>76.40000000000001</v>
      </c>
      <c r="W594" s="4" t="n">
        <v>4028</v>
      </c>
      <c r="X594" s="3" t="inlineStr">
        <is>
          <t>1동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창고시설</t>
        </is>
      </c>
      <c r="AB594" s="3" t="inlineStr">
        <is>
          <t>9.47m</t>
        </is>
      </c>
      <c r="AC594" s="3" t="inlineStr">
        <is>
          <t>2007-12</t>
        </is>
      </c>
      <c r="AD594" s="3" t="inlineStr">
        <is>
          <t>소로한면</t>
        </is>
      </c>
    </row>
    <row r="595">
      <c r="A595" s="3" t="inlineStr">
        <is>
          <t>조치원읍 서창리 202-5</t>
        </is>
      </c>
      <c r="B595" s="3" t="inlineStr">
        <is>
          <t>제1종일반주거지역</t>
        </is>
      </c>
      <c r="C595" s="3" t="inlineStr">
        <is>
          <t>대</t>
        </is>
      </c>
      <c r="D595" s="3" t="inlineStr">
        <is>
          <t>창고</t>
        </is>
      </c>
      <c r="E595" s="3" t="inlineStr">
        <is>
          <t>매매</t>
        </is>
      </c>
      <c r="F595" s="4" t="n">
        <v>140000</v>
      </c>
      <c r="G595" s="4" t="n">
        <v>0</v>
      </c>
      <c r="H595" s="4" t="n">
        <v>666</v>
      </c>
      <c r="I595" s="4" t="n">
        <v>201</v>
      </c>
      <c r="J595" s="5" t="n">
        <v>696.5</v>
      </c>
      <c r="K595" s="4" t="n">
        <v>397</v>
      </c>
      <c r="L595" s="4" t="n">
        <v>120</v>
      </c>
      <c r="M595" s="5" t="n">
        <v>1166.7</v>
      </c>
      <c r="N595" s="3" t="inlineStr">
        <is>
          <t>2</t>
        </is>
      </c>
      <c r="O595" s="3" t="inlineStr">
        <is>
          <t>-</t>
        </is>
      </c>
      <c r="P595" s="3" t="inlineStr">
        <is>
          <t>단독사용  2종근생  하수 직관  근생 창고 매매</t>
        </is>
      </c>
      <c r="Q595" s="6">
        <f>HYPERLINK("https://fin.land.naver.com/articles/2651733853", "매물Link")</f>
        <v/>
      </c>
      <c r="R595" s="6">
        <f>HYPERLINK("https://map.naver.com/p/search/조치원읍 서창리 202-5", "지도Link")</f>
        <v/>
      </c>
      <c r="S595" s="6">
        <f>HYPERLINK("http://www.eum.go.kr/web/ar/lu/luLandDet.jsp?pnu=3611025034102020005&amp;isNoScr=script&amp;mode=search", "토지이음")</f>
        <v/>
      </c>
      <c r="T595" s="3" t="inlineStr">
        <is>
          <t>THE행복</t>
        </is>
      </c>
      <c r="U595" s="4" t="n">
        <v>1</v>
      </c>
      <c r="V595" s="5" t="n">
        <v>344.8</v>
      </c>
      <c r="W595" s="4" t="n">
        <v>666</v>
      </c>
      <c r="X595" s="3" t="inlineStr">
        <is>
          <t>주건축물제1동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제2종근생</t>
        </is>
      </c>
      <c r="AB595" s="3" t="inlineStr">
        <is>
          <t>6.35m</t>
        </is>
      </c>
      <c r="AC595" s="3" t="inlineStr">
        <is>
          <t>2015-11</t>
        </is>
      </c>
      <c r="AD595" s="3" t="inlineStr">
        <is>
          <t>중로한면</t>
        </is>
      </c>
    </row>
    <row r="596">
      <c r="A596" s="3" t="inlineStr">
        <is>
          <t>조치원읍 서창리 202-5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매매</t>
        </is>
      </c>
      <c r="F596" s="4" t="n">
        <v>140000</v>
      </c>
      <c r="G596" s="4" t="n">
        <v>0</v>
      </c>
      <c r="H596" s="4" t="n">
        <v>673</v>
      </c>
      <c r="I596" s="4" t="n">
        <v>204</v>
      </c>
      <c r="J596" s="5" t="n">
        <v>686.3</v>
      </c>
      <c r="K596" s="4" t="n">
        <v>397</v>
      </c>
      <c r="L596" s="4" t="n">
        <v>120</v>
      </c>
      <c r="M596" s="5" t="n">
        <v>1166.7</v>
      </c>
      <c r="N596" s="3" t="inlineStr">
        <is>
          <t>2</t>
        </is>
      </c>
      <c r="O596" s="3" t="inlineStr">
        <is>
          <t>-</t>
        </is>
      </c>
      <c r="P596" s="3" t="inlineStr">
        <is>
          <t>조치원 시내 4차선 도로변 사무실 완비된 컨디션 좋은 창고 매매</t>
        </is>
      </c>
      <c r="Q596" s="6">
        <f>HYPERLINK("https://fin.land.naver.com/articles/2654666015", "매물Link")</f>
        <v/>
      </c>
      <c r="R596" s="6">
        <f>HYPERLINK("https://map.naver.com/p/search/조치원읍 서창리 202-5", "지도Link")</f>
        <v/>
      </c>
      <c r="S596" s="6">
        <f>HYPERLINK("http://www.eum.go.kr/web/ar/lu/luLandDet.jsp?pnu=3611025034102020005&amp;isNoScr=script&amp;mode=search", "토지이음")</f>
        <v/>
      </c>
      <c r="T596" s="3" t="inlineStr">
        <is>
          <t>청담</t>
        </is>
      </c>
      <c r="U596" s="4" t="n">
        <v>1</v>
      </c>
      <c r="V596" s="5" t="n">
        <v>344.8</v>
      </c>
      <c r="W596" s="4" t="n">
        <v>666</v>
      </c>
      <c r="X596" s="3" t="inlineStr">
        <is>
          <t>주건축물제1동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6.35m</t>
        </is>
      </c>
      <c r="AC596" s="3" t="inlineStr">
        <is>
          <t>2015-11</t>
        </is>
      </c>
      <c r="AD596" s="3" t="inlineStr">
        <is>
          <t>중로한면</t>
        </is>
      </c>
    </row>
    <row r="597">
      <c r="A597" s="3" t="inlineStr">
        <is>
          <t>집현동 1132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기타</t>
        </is>
      </c>
      <c r="E597" s="3" t="inlineStr">
        <is>
          <t>매매</t>
        </is>
      </c>
      <c r="F597" s="4" t="n">
        <v>2070000</v>
      </c>
      <c r="G597" s="4" t="n">
        <v>0</v>
      </c>
      <c r="H597" s="4" t="n">
        <v>2543</v>
      </c>
      <c r="I597" s="4" t="n">
        <v>769</v>
      </c>
      <c r="J597" s="5" t="n">
        <v>2691.8</v>
      </c>
      <c r="K597" s="4" t="n">
        <v>6273</v>
      </c>
      <c r="L597" s="4" t="n">
        <v>1898</v>
      </c>
      <c r="M597" s="5" t="n">
        <v>1090.6</v>
      </c>
      <c r="N597" s="3" t="inlineStr">
        <is>
          <t>7</t>
        </is>
      </c>
      <c r="O597" s="3" t="inlineStr">
        <is>
          <t>B2</t>
        </is>
      </c>
      <c r="P597" s="3" t="inlineStr">
        <is>
          <t>세종 신축 사옥 매매</t>
        </is>
      </c>
      <c r="Q597" s="6">
        <f>HYPERLINK("https://fin.land.naver.com/articles/2656277199", "매물Link")</f>
        <v/>
      </c>
      <c r="R597" s="6">
        <f>HYPERLINK("https://map.naver.com/p/search/집현동 1132", "지도Link")</f>
        <v/>
      </c>
      <c r="S597" s="6">
        <f>HYPERLINK("http://www.eum.go.kr/web/ar/lu/luLandDet.jsp?pnu=3611011800111320000&amp;isNoScr=script&amp;mode=search", "토지이음")</f>
        <v/>
      </c>
      <c r="T597" s="3" t="inlineStr">
        <is>
          <t>공장전문주식회사</t>
        </is>
      </c>
      <c r="U597" s="4" t="n">
        <v>1</v>
      </c>
      <c r="V597" s="5" t="n">
        <v>225.2</v>
      </c>
      <c r="W597" s="4" t="n">
        <v>2542.1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중로각지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420000</v>
      </c>
      <c r="G598" s="4" t="n">
        <v>0</v>
      </c>
      <c r="H598" s="4" t="n">
        <v>3240</v>
      </c>
      <c r="I598" s="4" t="n">
        <v>980</v>
      </c>
      <c r="J598" s="5" t="n">
        <v>428.6</v>
      </c>
      <c r="K598" s="4" t="n">
        <v>812</v>
      </c>
      <c r="L598" s="4" t="n">
        <v>246</v>
      </c>
      <c r="M598" s="5" t="n">
        <v>1707.3</v>
      </c>
      <c r="N598" s="3" t="inlineStr">
        <is>
          <t>2</t>
        </is>
      </c>
      <c r="O598" s="3" t="inlineStr">
        <is>
          <t>-</t>
        </is>
      </c>
      <c r="P598" s="3" t="inlineStr">
        <is>
          <t>층고8m 전력18kw 호이스트3톤 경부고속도로옆 6차선대로변인근</t>
        </is>
      </c>
      <c r="Q598" s="6">
        <f>HYPERLINK("https://fin.land.naver.com/articles/2653347378",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에이피엔주식회사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5160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단독공장  대형차량 진입가능  민원없는곳</t>
        </is>
      </c>
      <c r="Q599" s="6">
        <f>HYPERLINK("https://fin.land.naver.com/articles/2651774105",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7287</v>
      </c>
      <c r="I600" s="4" t="n">
        <v>2204</v>
      </c>
      <c r="J600" s="5" t="n">
        <v>0.4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사진有 공장 임대</t>
        </is>
      </c>
      <c r="Q600" s="6">
        <f>HYPERLINK("https://fin.land.naver.com/articles/2652988736",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월드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 인근 단독으로 사용하는 대형공장임대 진출입용이</t>
        </is>
      </c>
      <c r="Q601" s="6">
        <f>HYPERLINK("https://fin.land.naver.com/articles/2651993511",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태광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5159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남청주ic인접 야적장넓은 단독공장 도크시설있고 대형차 진출입용이</t>
        </is>
      </c>
      <c r="Q603" s="6">
        <f>HYPERLINK("https://fin.land.naver.com/articles/2650940963",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218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1800000</v>
      </c>
      <c r="G604" s="4" t="n">
        <v>0</v>
      </c>
      <c r="H604" s="4" t="n">
        <v>23949</v>
      </c>
      <c r="I604" s="4" t="n">
        <v>7245</v>
      </c>
      <c r="J604" s="5" t="n">
        <v>248.4</v>
      </c>
      <c r="K604" s="4" t="n">
        <v>6717</v>
      </c>
      <c r="L604" s="4" t="n">
        <v>2032</v>
      </c>
      <c r="M604" s="5" t="n">
        <v>885.8</v>
      </c>
      <c r="N604" s="3" t="inlineStr">
        <is>
          <t>4</t>
        </is>
      </c>
      <c r="O604" s="3" t="inlineStr">
        <is>
          <t>-</t>
        </is>
      </c>
      <c r="P604" s="3" t="inlineStr">
        <is>
          <t>진입로 좋고 호이스트 설치완료된 공장입니다</t>
        </is>
      </c>
      <c r="Q604" s="6">
        <f>HYPERLINK("https://fin.land.naver.com/articles/2656281667", "매물Link")</f>
        <v/>
      </c>
      <c r="R604" s="6">
        <f>HYPERLINK("https://map.naver.com/p/search/현도면 상삼리 218", "지도Link")</f>
        <v/>
      </c>
      <c r="S604" s="6">
        <f>HYPERLINK("http://www.eum.go.kr/web/ar/lu/luLandDet.jsp?pnu=4311232021102180000&amp;isNoScr=script&amp;mode=search", "토지이음")</f>
        <v/>
      </c>
      <c r="T604" s="3" t="inlineStr">
        <is>
          <t>복댕이</t>
        </is>
      </c>
      <c r="U604" s="4" t="n">
        <v>1</v>
      </c>
      <c r="V604" s="5" t="n">
        <v>69.8</v>
      </c>
      <c r="W604" s="4" t="n">
        <v>774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즉시 사용 가능 접근성 좋고 노출효과 좋음 층고 높은 공장 창고</t>
        </is>
      </c>
      <c r="Q607" s="6">
        <f>HYPERLINK("https://fin.land.naver.com/articles/2655405780",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실사진0k 층고8.5m 단독 근생창고 무권리 공장등록가능</t>
        </is>
      </c>
      <c r="Q608" s="6">
        <f>HYPERLINK("https://fin.land.naver.com/articles/2655034601",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이음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nan</t>
        </is>
      </c>
      <c r="Q609" s="6">
        <f>HYPERLINK("https://fin.land.naver.com/articles/2653328422",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다온팩토리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20145</v>
      </c>
      <c r="I613" s="4" t="n">
        <v>6094</v>
      </c>
      <c r="J613" s="5" t="n">
        <v>164.1</v>
      </c>
      <c r="K613" s="4" t="n">
        <v>3278</v>
      </c>
      <c r="L613" s="4" t="n">
        <v>992</v>
      </c>
      <c r="M613" s="5" t="n">
        <v>1008.1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 인근,2차선 접한 공장,대지가 넓어 공장,물류센터로 추천,</t>
        </is>
      </c>
      <c r="Q613" s="6">
        <f>HYPERLINK("https://fin.land.naver.com/articles/2651575968",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매매</t>
        </is>
      </c>
      <c r="F615" s="4" t="n">
        <v>1500000</v>
      </c>
      <c r="G615" s="4" t="n">
        <v>0</v>
      </c>
      <c r="H615" s="4" t="n">
        <v>15907</v>
      </c>
      <c r="I615" s="4" t="n">
        <v>4812</v>
      </c>
      <c r="J615" s="5" t="n">
        <v>311.7</v>
      </c>
      <c r="K615" s="4" t="n">
        <v>10462</v>
      </c>
      <c r="L615" s="4" t="n">
        <v>3165</v>
      </c>
      <c r="M615" s="5" t="n">
        <v>473.9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남청주IC에서 가까워 대형차 진출입이 용이한 대규모 물류창고</t>
        </is>
      </c>
      <c r="Q615" s="6">
        <f>HYPERLINK("https://fin.land.naver.com/articles/2654300805",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(주)미르</t>
        </is>
      </c>
      <c r="U615" s="4" t="n">
        <v>2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고속도로 바로 옆에 위치하여 광고효과 좋고, 호이스트 설치된 창고</t>
        </is>
      </c>
      <c r="Q617" s="6">
        <f>HYPERLINK("https://fin.land.naver.com/articles/2654296576",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 고속도로 옆 광고효과 가시성 좋은 물류창고 호이스트설치</t>
        </is>
      </c>
      <c r="Q618" s="6">
        <f>HYPERLINK("https://fin.land.naver.com/articles/2654184518",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더원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현도면의 대규모 물류창고 매매</t>
        </is>
      </c>
      <c r="Q619" s="6">
        <f>HYPERLINK("https://fin.land.naver.com/articles/2654660101",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금화랜드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500000</v>
      </c>
      <c r="G620" s="4" t="n">
        <v>0</v>
      </c>
      <c r="H620" s="4" t="n">
        <v>4954</v>
      </c>
      <c r="I620" s="4" t="n">
        <v>1499</v>
      </c>
      <c r="J620" s="5" t="n">
        <v>333.6</v>
      </c>
      <c r="K620" s="4" t="n">
        <v>3390</v>
      </c>
      <c r="L620" s="4" t="n">
        <v>1025</v>
      </c>
      <c r="M620" s="5" t="n">
        <v>487.8</v>
      </c>
      <c r="N620" s="3" t="inlineStr">
        <is>
          <t>2</t>
        </is>
      </c>
      <c r="O620" s="3" t="inlineStr">
        <is>
          <t>-</t>
        </is>
      </c>
      <c r="P620" s="3" t="inlineStr">
        <is>
          <t>남청주IC에서 가까워 대형차 진출입이 용이한 대규모 물류창고</t>
        </is>
      </c>
      <c r="Q620" s="6">
        <f>HYPERLINK("https://fin.land.naver.com/articles/2655095778",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(주)미르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2</t>
        </is>
      </c>
      <c r="O621" s="3" t="inlineStr">
        <is>
          <t>-</t>
        </is>
      </c>
      <c r="P621" s="3" t="inlineStr">
        <is>
          <t>사진有 창고 임대</t>
        </is>
      </c>
      <c r="Q621" s="6">
        <f>HYPERLINK("https://fin.land.naver.com/articles/2652988720",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월드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1</t>
        </is>
      </c>
      <c r="O622" s="3" t="inlineStr">
        <is>
          <t>-</t>
        </is>
      </c>
      <c r="P622" s="3" t="inlineStr">
        <is>
          <t>고속도로 광고효과 좋은 대형 물류창고, 호이스트, 대형차 진출입 원활</t>
        </is>
      </c>
      <c r="Q622" s="6">
        <f>HYPERLINK("https://fin.land.naver.com/articles/2652882825",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10000</v>
      </c>
      <c r="G623" s="4" t="n">
        <v>1000</v>
      </c>
      <c r="H623" s="4" t="n">
        <v>4954</v>
      </c>
      <c r="I623" s="4" t="n">
        <v>1499</v>
      </c>
      <c r="J623" s="5" t="n">
        <v>0.7</v>
      </c>
      <c r="K623" s="4" t="n">
        <v>1718</v>
      </c>
      <c r="L623" s="4" t="n">
        <v>520</v>
      </c>
      <c r="M623" s="5" t="n">
        <v>1.9</v>
      </c>
      <c r="N623" s="3" t="inlineStr">
        <is>
          <t>1</t>
        </is>
      </c>
      <c r="O623" s="3" t="inlineStr">
        <is>
          <t>-</t>
        </is>
      </c>
      <c r="P623" s="3" t="inlineStr">
        <is>
          <t>경부고속도로 옆 광고효과최상 단독사용 호이스트2대 남청주ic 5분거리</t>
        </is>
      </c>
      <c r="Q623" s="6">
        <f>HYPERLINK("https://fin.land.naver.com/articles/2650948034",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18597</v>
      </c>
      <c r="I624" s="4" t="n">
        <v>5626</v>
      </c>
      <c r="J624" s="5" t="n">
        <v>266.6</v>
      </c>
      <c r="K624" s="4" t="n">
        <v>10465</v>
      </c>
      <c r="L624" s="4" t="n">
        <v>3166</v>
      </c>
      <c r="M624" s="5" t="n">
        <v>473.8</v>
      </c>
      <c r="N624" s="3" t="inlineStr">
        <is>
          <t>3</t>
        </is>
      </c>
      <c r="O624" s="3" t="inlineStr">
        <is>
          <t>-</t>
        </is>
      </c>
      <c r="P624" s="3" t="inlineStr">
        <is>
          <t>남청주ic 고속도로 옆 광고효과 가시성 좋은 대형공장이나 물류창고</t>
        </is>
      </c>
      <c r="Q624" s="6">
        <f>HYPERLINK("https://fin.land.naver.com/articles/2652625183",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9164</v>
      </c>
      <c r="I625" s="4" t="n">
        <v>2772</v>
      </c>
      <c r="J625" s="5" t="n">
        <v>360.8</v>
      </c>
      <c r="K625" s="4" t="n">
        <v>6783</v>
      </c>
      <c r="L625" s="4" t="n">
        <v>2052</v>
      </c>
      <c r="M625" s="5" t="n">
        <v>487.3</v>
      </c>
      <c r="N625" s="3" t="inlineStr">
        <is>
          <t>3</t>
        </is>
      </c>
      <c r="O625" s="3" t="inlineStr">
        <is>
          <t>-</t>
        </is>
      </c>
      <c r="P625" s="3" t="inlineStr">
        <is>
          <t>남청주IC에서 가까워 대형차 진출입이 용이한 대규모 물류창고</t>
        </is>
      </c>
      <c r="Q625" s="6">
        <f>HYPERLINK("https://fin.land.naver.com/articles/2651033406",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9146</v>
      </c>
      <c r="I626" s="4" t="n">
        <v>2767</v>
      </c>
      <c r="J626" s="5" t="n">
        <v>361.4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 고속도로 옆  광고. 전시효과 좋은 대형공장이나 물류창고</t>
        </is>
      </c>
      <c r="Q626" s="6">
        <f>HYPERLINK("https://fin.land.naver.com/articles/2654182761",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6000</v>
      </c>
      <c r="G627" s="4" t="n">
        <v>600</v>
      </c>
      <c r="H627" s="4" t="n">
        <v>30294</v>
      </c>
      <c r="I627" s="4" t="n">
        <v>9164</v>
      </c>
      <c r="J627" s="5" t="n">
        <v>0.1</v>
      </c>
      <c r="K627" s="4" t="n">
        <v>925</v>
      </c>
      <c r="L627" s="4" t="n">
        <v>280</v>
      </c>
      <c r="M627" s="5" t="n">
        <v>2.1</v>
      </c>
      <c r="N627" s="3" t="inlineStr">
        <is>
          <t>3</t>
        </is>
      </c>
      <c r="O627" s="3" t="inlineStr">
        <is>
          <t>-</t>
        </is>
      </c>
      <c r="P627" s="3" t="inlineStr">
        <is>
          <t>신탄진 현도교에서  8분거리 위치한 공장 및 창고 입니다</t>
        </is>
      </c>
      <c r="Q627" s="6">
        <f>HYPERLINK("https://fin.land.naver.com/articles/2654292750",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더행복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20000</v>
      </c>
      <c r="G628" s="4" t="n">
        <v>2000</v>
      </c>
      <c r="H628" s="4" t="n">
        <v>3322</v>
      </c>
      <c r="I628" s="4" t="n">
        <v>1005</v>
      </c>
      <c r="J628" s="5" t="n">
        <v>2</v>
      </c>
      <c r="K628" s="4" t="n">
        <v>3306</v>
      </c>
      <c r="L628" s="4" t="n">
        <v>1000</v>
      </c>
      <c r="M628" s="5" t="n">
        <v>2</v>
      </c>
      <c r="N628" s="3" t="inlineStr">
        <is>
          <t>2</t>
        </is>
      </c>
      <c r="O628" s="3" t="inlineStr">
        <is>
          <t>-</t>
        </is>
      </c>
      <c r="P628" s="3" t="inlineStr">
        <is>
          <t>남청주IC약 8분거리 대형차 진입용이한 공장 및 창고 입니다</t>
        </is>
      </c>
      <c r="Q628" s="6">
        <f>HYPERLINK("https://fin.land.naver.com/articles/2652020785",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더행복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월세</t>
        </is>
      </c>
      <c r="F629" s="4" t="n">
        <v>20000</v>
      </c>
      <c r="G629" s="4" t="n">
        <v>2000</v>
      </c>
      <c r="H629" s="4" t="n">
        <v>9164</v>
      </c>
      <c r="I629" s="4" t="n">
        <v>2772</v>
      </c>
      <c r="J629" s="5" t="n">
        <v>0.7</v>
      </c>
      <c r="K629" s="4" t="n">
        <v>3322</v>
      </c>
      <c r="L629" s="4" t="n">
        <v>1005</v>
      </c>
      <c r="M629" s="5" t="n">
        <v>2</v>
      </c>
      <c r="N629" s="3" t="inlineStr">
        <is>
          <t>1</t>
        </is>
      </c>
      <c r="O629" s="3" t="inlineStr">
        <is>
          <t>-</t>
        </is>
      </c>
      <c r="P629" s="3" t="inlineStr">
        <is>
          <t>경부고속도로옆 광고효과 좋고 남청주ic 5분거리로 공장이나 물류창고</t>
        </is>
      </c>
      <c r="Q629" s="6">
        <f>HYPERLINK("https://fin.land.naver.com/articles/2650873464",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18597</v>
      </c>
      <c r="I630" s="4" t="n">
        <v>5626</v>
      </c>
      <c r="J630" s="5" t="n">
        <v>266.6</v>
      </c>
      <c r="K630" s="4" t="n">
        <v>10465</v>
      </c>
      <c r="L630" s="4" t="n">
        <v>3166</v>
      </c>
      <c r="M630" s="5" t="n">
        <v>473.8</v>
      </c>
      <c r="N630" s="3" t="inlineStr">
        <is>
          <t>2</t>
        </is>
      </c>
      <c r="O630" s="3" t="inlineStr">
        <is>
          <t>-</t>
        </is>
      </c>
      <c r="P630" s="3" t="inlineStr">
        <is>
          <t>고속도로 광고 효과 최고 대형 공장 물류 창고, 호이스트  대형차 진출</t>
        </is>
      </c>
      <c r="Q630" s="6">
        <f>HYPERLINK("https://fin.land.naver.com/articles/2652885559",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대전토지로무소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730-1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200000</v>
      </c>
      <c r="G631" s="4" t="n">
        <v>0</v>
      </c>
      <c r="H631" s="4" t="n">
        <v>3599</v>
      </c>
      <c r="I631" s="4" t="n">
        <v>1089</v>
      </c>
      <c r="J631" s="5" t="n">
        <v>183.7</v>
      </c>
      <c r="K631" s="4" t="n">
        <v>2145</v>
      </c>
      <c r="L631" s="4" t="n">
        <v>649</v>
      </c>
      <c r="M631" s="5" t="n">
        <v>308.2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남청주IC인근으로 대형차진출입이 편리한 공장 매매,넓은 마당 보유</t>
        </is>
      </c>
      <c r="Q631" s="6">
        <f>HYPERLINK("https://fin.land.naver.com/articles/2654296517", "매물Link")</f>
        <v/>
      </c>
      <c r="R631" s="6">
        <f>HYPERLINK("https://map.naver.com/p/search/현도면 우록리 730-1", "지도Link")</f>
        <v/>
      </c>
      <c r="S631" s="6">
        <f>HYPERLINK("http://www.eum.go.kr/web/ar/lu/luLandDet.jsp?pnu=4311232024107300001&amp;isNoScr=script&amp;mode=search", "토지이음")</f>
        <v/>
      </c>
      <c r="T631" s="3" t="inlineStr">
        <is>
          <t>(주)미르</t>
        </is>
      </c>
      <c r="U631" s="4" t="n">
        <v>2</v>
      </c>
      <c r="V631" s="5" t="n">
        <v>72.09999999999999</v>
      </c>
      <c r="W631" s="4" t="n">
        <v>2985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730-1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200000</v>
      </c>
      <c r="G632" s="4" t="n">
        <v>0</v>
      </c>
      <c r="H632" s="4" t="n">
        <v>3601</v>
      </c>
      <c r="I632" s="4" t="n">
        <v>1089</v>
      </c>
      <c r="J632" s="5" t="n">
        <v>183.7</v>
      </c>
      <c r="K632" s="4" t="n">
        <v>2145</v>
      </c>
      <c r="L632" s="4" t="n">
        <v>649</v>
      </c>
      <c r="M632" s="5" t="n">
        <v>308.2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신탄진.대전등 접근성 좋은 위치의 공장</t>
        </is>
      </c>
      <c r="Q632" s="6">
        <f>HYPERLINK("https://fin.land.naver.com/articles/2653351717", "매물Link")</f>
        <v/>
      </c>
      <c r="R632" s="6">
        <f>HYPERLINK("https://map.naver.com/p/search/현도면 우록리 730-1", "지도Link")</f>
        <v/>
      </c>
      <c r="S632" s="6">
        <f>HYPERLINK("http://www.eum.go.kr/web/ar/lu/luLandDet.jsp?pnu=4311232024107300001&amp;isNoScr=script&amp;mode=search",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72.09999999999999</v>
      </c>
      <c r="W632" s="4" t="n">
        <v>2985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740-3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750000</v>
      </c>
      <c r="G633" s="4" t="n">
        <v>0</v>
      </c>
      <c r="H633" s="4" t="n">
        <v>12086</v>
      </c>
      <c r="I633" s="4" t="n">
        <v>3656</v>
      </c>
      <c r="J633" s="5" t="n">
        <v>205.1</v>
      </c>
      <c r="K633" s="4" t="n">
        <v>2216</v>
      </c>
      <c r="L633" s="4" t="n">
        <v>670</v>
      </c>
      <c r="M633" s="5" t="n">
        <v>1119.4</v>
      </c>
      <c r="N633" s="3" t="inlineStr">
        <is>
          <t>3</t>
        </is>
      </c>
      <c r="O633" s="3" t="inlineStr">
        <is>
          <t>-</t>
        </is>
      </c>
      <c r="P633" s="3" t="inlineStr">
        <is>
          <t>대지가 넓은 공장으로 민원소지가 없으며 광고 효과가 좋음</t>
        </is>
      </c>
      <c r="Q633" s="6">
        <f>HYPERLINK("https://fin.land.naver.com/articles/2655487194", "매물Link")</f>
        <v/>
      </c>
      <c r="R633" s="6">
        <f>HYPERLINK("https://map.naver.com/p/search/현도면 우록리 740-3", "지도Link")</f>
        <v/>
      </c>
      <c r="S633" s="6">
        <f>HYPERLINK("http://www.eum.go.kr/web/ar/lu/luLandDet.jsp?pnu=4311232024107400003&amp;isNoScr=script&amp;mode=search",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59.8</v>
      </c>
      <c r="W633" s="4" t="n">
        <v>11365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740-3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750000</v>
      </c>
      <c r="G634" s="4" t="n">
        <v>0</v>
      </c>
      <c r="H634" s="4" t="n">
        <v>12086</v>
      </c>
      <c r="I634" s="4" t="n">
        <v>3656</v>
      </c>
      <c r="J634" s="5" t="n">
        <v>205.1</v>
      </c>
      <c r="K634" s="4" t="n">
        <v>2217</v>
      </c>
      <c r="L634" s="4" t="n">
        <v>671</v>
      </c>
      <c r="M634" s="5" t="n">
        <v>1117.7</v>
      </c>
      <c r="N634" s="3" t="inlineStr">
        <is>
          <t>3</t>
        </is>
      </c>
      <c r="O634" s="3" t="inlineStr">
        <is>
          <t>-</t>
        </is>
      </c>
      <c r="P634" s="3" t="inlineStr">
        <is>
          <t>민원소지 없는 주차공간 넓은 공장 매매, 공장,창고로 강력추천</t>
        </is>
      </c>
      <c r="Q634" s="6">
        <f>HYPERLINK("https://fin.land.naver.com/articles/2654281379", "매물Link")</f>
        <v/>
      </c>
      <c r="R634" s="6">
        <f>HYPERLINK("https://map.naver.com/p/search/현도면 우록리 740-3", "지도Link")</f>
        <v/>
      </c>
      <c r="S634" s="6">
        <f>HYPERLINK("http://www.eum.go.kr/web/ar/lu/luLandDet.jsp?pnu=4311232024107400003&amp;isNoScr=script&amp;mode=search", "토지이음")</f>
        <v/>
      </c>
      <c r="T634" s="3" t="inlineStr">
        <is>
          <t>금화랜드</t>
        </is>
      </c>
      <c r="U634" s="4" t="n">
        <v>1</v>
      </c>
      <c r="V634" s="5" t="n">
        <v>59.8</v>
      </c>
      <c r="W634" s="4" t="n">
        <v>11365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753-13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700000</v>
      </c>
      <c r="G635" s="4" t="n">
        <v>0</v>
      </c>
      <c r="H635" s="4" t="n">
        <v>8829</v>
      </c>
      <c r="I635" s="4" t="n">
        <v>2671</v>
      </c>
      <c r="J635" s="5" t="n">
        <v>262.1</v>
      </c>
      <c r="K635" s="4" t="n">
        <v>1109</v>
      </c>
      <c r="L635" s="4" t="n">
        <v>335</v>
      </c>
      <c r="M635" s="5" t="n">
        <v>2089.6</v>
      </c>
      <c r="N635" s="3" t="inlineStr">
        <is>
          <t>1</t>
        </is>
      </c>
      <c r="O635" s="3" t="inlineStr">
        <is>
          <t>-</t>
        </is>
      </c>
      <c r="P635" s="3" t="inlineStr">
        <is>
          <t>남청주IC 인근, 가구마을옆, 활용도 좋은 넓은 토지가있는 신축공장</t>
        </is>
      </c>
      <c r="Q635" s="6">
        <f>HYPERLINK("https://fin.land.naver.com/articles/2655941119", "매물Link")</f>
        <v/>
      </c>
      <c r="R635" s="6">
        <f>HYPERLINK("https://map.naver.com/p/search/현도면 우록리 753-13", "지도Link")</f>
        <v/>
      </c>
      <c r="S635" s="6">
        <f>HYPERLINK("http://www.eum.go.kr/web/ar/lu/luLandDet.jsp?pnu=4311232024107530013&amp;isNoScr=script&amp;mode=search", "토지이음")</f>
        <v/>
      </c>
      <c r="T635" s="3" t="inlineStr">
        <is>
          <t>(주)미르</t>
        </is>
      </c>
      <c r="U635" s="4" t="n">
        <v>1</v>
      </c>
      <c r="V635" s="5" t="n">
        <v>15.6</v>
      </c>
      <c r="W635" s="4" t="n">
        <v>6268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753-14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700000</v>
      </c>
      <c r="G636" s="4" t="n">
        <v>0</v>
      </c>
      <c r="H636" s="4" t="n">
        <v>9821</v>
      </c>
      <c r="I636" s="4" t="n">
        <v>2971</v>
      </c>
      <c r="J636" s="5" t="n">
        <v>235.6</v>
      </c>
      <c r="K636" s="4" t="n">
        <v>1109</v>
      </c>
      <c r="L636" s="4" t="n">
        <v>335</v>
      </c>
      <c r="M636" s="5" t="n">
        <v>2089.6</v>
      </c>
      <c r="N636" s="3" t="inlineStr">
        <is>
          <t>1</t>
        </is>
      </c>
      <c r="O636" s="3" t="inlineStr">
        <is>
          <t>-</t>
        </is>
      </c>
      <c r="P636" s="3" t="inlineStr">
        <is>
          <t>대지 넓어 증축 가능한 신축급 공장,민원 걱정 없고 대형차량 진출입 용이</t>
        </is>
      </c>
      <c r="Q636" s="6">
        <f>HYPERLINK("https://fin.land.naver.com/articles/2650946317", "매물Link")</f>
        <v/>
      </c>
      <c r="R636" s="6">
        <f>HYPERLINK("https://map.naver.com/p/search/현도면 우록리 753-14", "지도Link")</f>
        <v/>
      </c>
      <c r="S636" s="6">
        <f>HYPERLINK("http://www.eum.go.kr/web/ar/lu/luLandDet.jsp?pnu=4311232024107530014&amp;isNoScr=script&amp;mode=search", "토지이음")</f>
        <v/>
      </c>
      <c r="T636" s="3" t="inlineStr">
        <is>
          <t>금화랜드</t>
        </is>
      </c>
      <c r="U636" s="4" t="n">
        <v>1</v>
      </c>
      <c r="V636" s="5" t="n">
        <v>58.9</v>
      </c>
      <c r="W636" s="4" t="n">
        <v>2561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171</t>
        </is>
      </c>
      <c r="B637" s="3" t="inlineStr">
        <is>
          <t>보전관리지역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월세</t>
        </is>
      </c>
      <c r="F637" s="4" t="n">
        <v>4000</v>
      </c>
      <c r="G637" s="4" t="n">
        <v>350</v>
      </c>
      <c r="H637" s="4" t="n">
        <v>7491</v>
      </c>
      <c r="I637" s="4" t="n">
        <v>2266</v>
      </c>
      <c r="J637" s="5" t="n">
        <v>0.2</v>
      </c>
      <c r="K637" s="4" t="n">
        <v>903</v>
      </c>
      <c r="L637" s="4" t="n">
        <v>273</v>
      </c>
      <c r="M637" s="5" t="n">
        <v>1.3</v>
      </c>
      <c r="N637" s="3" t="inlineStr">
        <is>
          <t>2</t>
        </is>
      </c>
      <c r="O637" s="3" t="inlineStr">
        <is>
          <t>-</t>
        </is>
      </c>
      <c r="P637" s="3" t="inlineStr">
        <is>
          <t>1층2개동전체249P중대형공장,남청주IC근접</t>
        </is>
      </c>
      <c r="Q637" s="6">
        <f>HYPERLINK("https://fin.land.naver.com/articles/2655798826", "매물Link")</f>
        <v/>
      </c>
      <c r="R637" s="6">
        <f>HYPERLINK("https://map.naver.com/p/search/현도면 죽암리 171", "지도Link")</f>
        <v/>
      </c>
      <c r="S637" s="6">
        <f>HYPERLINK("http://www.eum.go.kr/web/ar/lu/luLandDet.jsp?pnu=4311232034101710000&amp;isNoScr=script&amp;mode=search", "토지이음")</f>
        <v/>
      </c>
      <c r="T637" s="3" t="inlineStr">
        <is>
          <t>하나+The 사무소</t>
        </is>
      </c>
      <c r="U637" s="4" t="n">
        <v>1</v>
      </c>
      <c r="V637" s="5" t="n">
        <v>47</v>
      </c>
      <c r="W637" s="4" t="n">
        <v>7491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171</t>
        </is>
      </c>
      <c r="B638" s="3" t="inlineStr">
        <is>
          <t>보전관리지역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4000</v>
      </c>
      <c r="G638" s="4" t="n">
        <v>350</v>
      </c>
      <c r="H638" s="4" t="n">
        <v>7491</v>
      </c>
      <c r="I638" s="4" t="n">
        <v>2266</v>
      </c>
      <c r="J638" s="5" t="n">
        <v>0.2</v>
      </c>
      <c r="K638" s="4" t="n">
        <v>903</v>
      </c>
      <c r="L638" s="4" t="n">
        <v>273</v>
      </c>
      <c r="M638" s="5" t="n">
        <v>1.3</v>
      </c>
      <c r="N638" s="3" t="inlineStr">
        <is>
          <t>2</t>
        </is>
      </c>
      <c r="O638" s="3" t="inlineStr">
        <is>
          <t>-</t>
        </is>
      </c>
      <c r="P638" s="3" t="inlineStr">
        <is>
          <t>즉시 사용 가능한 공장 및 창고 민원 소지 없음 2개동으로 분리 되어있음</t>
        </is>
      </c>
      <c r="Q638" s="6">
        <f>HYPERLINK("https://fin.land.naver.com/articles/2652881066", "매물Link")</f>
        <v/>
      </c>
      <c r="R638" s="6">
        <f>HYPERLINK("https://map.naver.com/p/search/현도면 죽암리 171", "지도Link")</f>
        <v/>
      </c>
      <c r="S638" s="6">
        <f>HYPERLINK("http://www.eum.go.kr/web/ar/lu/luLandDet.jsp?pnu=4311232034101710000&amp;isNoScr=script&amp;mode=search",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47</v>
      </c>
      <c r="W638" s="4" t="n">
        <v>7491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171</t>
        </is>
      </c>
      <c r="B639" s="3" t="inlineStr">
        <is>
          <t>보전관리지역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월세</t>
        </is>
      </c>
      <c r="F639" s="4" t="n">
        <v>4000</v>
      </c>
      <c r="G639" s="4" t="n">
        <v>350</v>
      </c>
      <c r="H639" s="4" t="n">
        <v>7491</v>
      </c>
      <c r="I639" s="4" t="n">
        <v>2266</v>
      </c>
      <c r="J639" s="5" t="n">
        <v>0.2</v>
      </c>
      <c r="K639" s="4" t="n">
        <v>823</v>
      </c>
      <c r="L639" s="4" t="n">
        <v>249</v>
      </c>
      <c r="M639" s="5" t="n">
        <v>1.4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HYPERLINK("https://fin.land.naver.com/articles/2655864267", "매물Link")</f>
        <v/>
      </c>
      <c r="R639" s="6">
        <f>HYPERLINK("https://map.naver.com/p/search/현도면 죽암리 171", "지도Link")</f>
        <v/>
      </c>
      <c r="S639" s="6">
        <f>HYPERLINK("http://www.eum.go.kr/web/ar/lu/luLandDet.jsp?pnu=4311232034101710000&amp;isNoScr=script&amp;mode=search", "토지이음")</f>
        <v/>
      </c>
      <c r="T639" s="3" t="inlineStr">
        <is>
          <t>KS</t>
        </is>
      </c>
      <c r="U639" s="4" t="n">
        <v>1</v>
      </c>
      <c r="V639" s="5" t="n">
        <v>47</v>
      </c>
      <c r="W639" s="4" t="n">
        <v>7491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HYPERLINK("https://fin.land.naver.com/articles/2656308871",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221-3</t>
        </is>
      </c>
      <c r="B641" s="3" t="inlineStr">
        <is>
          <t>보전관리지역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7500</v>
      </c>
      <c r="G641" s="4" t="n">
        <v>750</v>
      </c>
      <c r="H641" s="4" t="n">
        <v>4490</v>
      </c>
      <c r="I641" s="4" t="n">
        <v>1358</v>
      </c>
      <c r="J641" s="5" t="n">
        <v>0.6</v>
      </c>
      <c r="K641" s="4" t="n">
        <v>837</v>
      </c>
      <c r="L641" s="4" t="n">
        <v>253</v>
      </c>
      <c r="M641" s="5" t="n">
        <v>3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인근 2차선 접한 단독창고, 대형마당, 높은 층고</t>
        </is>
      </c>
      <c r="Q641" s="6">
        <f>HYPERLINK("https://fin.land.naver.com/articles/2656159325", "매물Link")</f>
        <v/>
      </c>
      <c r="R641" s="6">
        <f>HYPERLINK("https://map.naver.com/p/search/현도면 죽암리 221-3", "지도Link")</f>
        <v/>
      </c>
      <c r="S641" s="6">
        <f>HYPERLINK("http://www.eum.go.kr/web/ar/lu/luLandDet.jsp?pnu=4311232034102210003&amp;isNoScr=script&amp;mode=search", "토지이음")</f>
        <v/>
      </c>
      <c r="T641" s="3" t="inlineStr">
        <is>
          <t>더오름</t>
        </is>
      </c>
      <c r="U641" s="4" t="n">
        <v>2</v>
      </c>
      <c r="V641" s="5" t="n">
        <v>44.6</v>
      </c>
      <c r="W641" s="4" t="n">
        <v>4202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221-3</t>
        </is>
      </c>
      <c r="B642" s="3" t="inlineStr">
        <is>
          <t>보전관리지역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300000</v>
      </c>
      <c r="G642" s="4" t="n">
        <v>0</v>
      </c>
      <c r="H642" s="4" t="n">
        <v>6016</v>
      </c>
      <c r="I642" s="4" t="n">
        <v>1820</v>
      </c>
      <c r="J642" s="5" t="n">
        <v>164.8</v>
      </c>
      <c r="K642" s="4" t="n">
        <v>837</v>
      </c>
      <c r="L642" s="4" t="n">
        <v>253</v>
      </c>
      <c r="M642" s="5" t="n">
        <v>1185.8</v>
      </c>
      <c r="N642" s="3" t="inlineStr">
        <is>
          <t>1</t>
        </is>
      </c>
      <c r="O642" s="3" t="inlineStr">
        <is>
          <t>-</t>
        </is>
      </c>
      <c r="P642" s="3" t="inlineStr">
        <is>
          <t>대전, 세종, 청주 접근성 우수 남청주IC 7분, 부지 넓은 신축창고 매</t>
        </is>
      </c>
      <c r="Q642" s="6">
        <f>HYPERLINK("https://fin.land.naver.com/articles/2654665859", "매물Link")</f>
        <v/>
      </c>
      <c r="R642" s="6">
        <f>HYPERLINK("https://map.naver.com/p/search/현도면 죽암리 221-3", "지도Link")</f>
        <v/>
      </c>
      <c r="S642" s="6">
        <f>HYPERLINK("http://www.eum.go.kr/web/ar/lu/luLandDet.jsp?pnu=4311232034102210003&amp;isNoScr=script&amp;mode=search", "토지이음")</f>
        <v/>
      </c>
      <c r="T642" s="3" t="inlineStr">
        <is>
          <t>청담</t>
        </is>
      </c>
      <c r="U642" s="4" t="n">
        <v>1</v>
      </c>
      <c r="V642" s="5" t="n">
        <v>44.6</v>
      </c>
      <c r="W642" s="4" t="n">
        <v>4202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221-3</t>
        </is>
      </c>
      <c r="B643" s="3" t="inlineStr">
        <is>
          <t>보전관리지역</t>
        </is>
      </c>
      <c r="C643" s="3" t="inlineStr">
        <is>
          <t>대</t>
        </is>
      </c>
      <c r="D643" s="3" t="inlineStr">
        <is>
          <t>창고</t>
        </is>
      </c>
      <c r="E643" s="3" t="inlineStr">
        <is>
          <t>월세</t>
        </is>
      </c>
      <c r="F643" s="4" t="n">
        <v>7500</v>
      </c>
      <c r="G643" s="4" t="n">
        <v>750</v>
      </c>
      <c r="H643" s="4" t="n">
        <v>4598</v>
      </c>
      <c r="I643" s="4" t="n">
        <v>1391</v>
      </c>
      <c r="J643" s="5" t="n">
        <v>0.5</v>
      </c>
      <c r="K643" s="4" t="n">
        <v>838</v>
      </c>
      <c r="L643" s="4" t="n">
        <v>253</v>
      </c>
      <c r="M643" s="5" t="n">
        <v>3</v>
      </c>
      <c r="N643" s="3" t="inlineStr">
        <is>
          <t>1</t>
        </is>
      </c>
      <c r="O643" s="3" t="inlineStr">
        <is>
          <t>-</t>
        </is>
      </c>
      <c r="P643" s="3" t="inlineStr">
        <is>
          <t>즉시 사용 가능한 신축 창고 남청주 IC 인근 접근성 좋음, 넓은 주차장</t>
        </is>
      </c>
      <c r="Q643" s="6">
        <f>HYPERLINK("https://fin.land.naver.com/articles/2654970408", "매물Link")</f>
        <v/>
      </c>
      <c r="R643" s="6">
        <f>HYPERLINK("https://map.naver.com/p/search/현도면 죽암리 221-3", "지도Link")</f>
        <v/>
      </c>
      <c r="S643" s="6">
        <f>HYPERLINK("http://www.eum.go.kr/web/ar/lu/luLandDet.jsp?pnu=4311232034102210003&amp;isNoScr=script&amp;mode=search",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44.6</v>
      </c>
      <c r="W643" s="4" t="n">
        <v>4202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353-2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창고</t>
        </is>
      </c>
      <c r="E644" s="3" t="inlineStr">
        <is>
          <t>매매</t>
        </is>
      </c>
      <c r="F644" s="4" t="n">
        <v>21000</v>
      </c>
      <c r="G644" s="4" t="n">
        <v>0</v>
      </c>
      <c r="H644" s="4" t="n">
        <v>327</v>
      </c>
      <c r="I644" s="4" t="n">
        <v>99</v>
      </c>
      <c r="J644" s="5" t="n">
        <v>212.1</v>
      </c>
      <c r="K644" s="4" t="n">
        <v>167</v>
      </c>
      <c r="L644" s="4" t="n">
        <v>51</v>
      </c>
      <c r="M644" s="5" t="n">
        <v>411.8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 3분거리이며 층고5m  저렴한 소형창고매매</t>
        </is>
      </c>
      <c r="Q644" s="6">
        <f>HYPERLINK("https://fin.land.naver.com/articles/2650936228", "매물Link")</f>
        <v/>
      </c>
      <c r="R644" s="6">
        <f>HYPERLINK("https://map.naver.com/p/search/현도면 죽암리 353-2", "지도Link")</f>
        <v/>
      </c>
      <c r="S644" s="6">
        <f>HYPERLINK("http://www.eum.go.kr/web/ar/lu/luLandDet.jsp?pnu=4311232034103530002&amp;isNoScr=script&amp;mode=search",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57.4</v>
      </c>
      <c r="W644" s="4" t="n">
        <v>281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390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월세</t>
        </is>
      </c>
      <c r="F645" s="4" t="n">
        <v>5000</v>
      </c>
      <c r="G645" s="4" t="n">
        <v>480</v>
      </c>
      <c r="H645" s="4" t="n">
        <v>5631</v>
      </c>
      <c r="I645" s="4" t="n">
        <v>1703</v>
      </c>
      <c r="J645" s="5" t="n">
        <v>0.3</v>
      </c>
      <c r="K645" s="4" t="n">
        <v>668</v>
      </c>
      <c r="L645" s="4" t="n">
        <v>202</v>
      </c>
      <c r="M645" s="5" t="n">
        <v>2.4</v>
      </c>
      <c r="N645" s="3" t="inlineStr">
        <is>
          <t>1</t>
        </is>
      </c>
      <c r="O645" s="3" t="inlineStr">
        <is>
          <t>-</t>
        </is>
      </c>
      <c r="P645" s="3" t="inlineStr">
        <is>
          <t>nan</t>
        </is>
      </c>
      <c r="Q645" s="6">
        <f>HYPERLINK("https://fin.land.naver.com/articles/2651352381", "매물Link")</f>
        <v/>
      </c>
      <c r="R645" s="6">
        <f>HYPERLINK("https://map.naver.com/p/search/현도면 죽암리 390", "지도Link")</f>
        <v/>
      </c>
      <c r="S645" s="6">
        <f>HYPERLINK("http://www.eum.go.kr/web/ar/lu/luLandDet.jsp?pnu=4311232034103900000&amp;isNoScr=script&amp;mode=search", "토지이음")</f>
        <v/>
      </c>
      <c r="T645" s="3" t="inlineStr">
        <is>
          <t>(주)동행에셋</t>
        </is>
      </c>
      <c r="U645" s="4" t="n">
        <v>1</v>
      </c>
      <c r="V645" s="5" t="n">
        <v>60.8</v>
      </c>
      <c r="W645" s="4" t="n">
        <v>5631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390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월세</t>
        </is>
      </c>
      <c r="F646" s="4" t="n">
        <v>10000</v>
      </c>
      <c r="G646" s="4" t="n">
        <v>900</v>
      </c>
      <c r="H646" s="4" t="n">
        <v>5631</v>
      </c>
      <c r="I646" s="4" t="n">
        <v>1703</v>
      </c>
      <c r="J646" s="5" t="n">
        <v>0.5</v>
      </c>
      <c r="K646" s="4" t="n">
        <v>1622</v>
      </c>
      <c r="L646" s="4" t="n">
        <v>491</v>
      </c>
      <c r="M646" s="5" t="n">
        <v>1.8</v>
      </c>
      <c r="N646" s="3" t="inlineStr">
        <is>
          <t>1</t>
        </is>
      </c>
      <c r="O646" s="3" t="inlineStr">
        <is>
          <t>-</t>
        </is>
      </c>
      <c r="P646" s="3" t="inlineStr">
        <is>
          <t>nan</t>
        </is>
      </c>
      <c r="Q646" s="6">
        <f>HYPERLINK("https://fin.land.naver.com/articles/2654779216", "매물Link")</f>
        <v/>
      </c>
      <c r="R646" s="6">
        <f>HYPERLINK("https://map.naver.com/p/search/현도면 죽암리 390", "지도Link")</f>
        <v/>
      </c>
      <c r="S646" s="6">
        <f>HYPERLINK("http://www.eum.go.kr/web/ar/lu/luLandDet.jsp?pnu=4311232034103900000&amp;isNoScr=script&amp;mode=search", "토지이음")</f>
        <v/>
      </c>
      <c r="T646" s="3" t="inlineStr">
        <is>
          <t>(주)동행에셋</t>
        </is>
      </c>
      <c r="U646" s="4" t="n">
        <v>1</v>
      </c>
      <c r="V646" s="5" t="n">
        <v>60.8</v>
      </c>
      <c r="W646" s="4" t="n">
        <v>5631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991</v>
      </c>
      <c r="L647" s="4" t="n">
        <v>300</v>
      </c>
      <c r="M647" s="5" t="n">
        <v>6</v>
      </c>
      <c r="N647" s="3" t="inlineStr">
        <is>
          <t>1</t>
        </is>
      </c>
      <c r="O647" s="3" t="inlineStr">
        <is>
          <t>-</t>
        </is>
      </c>
      <c r="P647" s="3" t="inlineStr">
        <is>
          <t>위험물 보관 창고 고압 가스, 특수가스 보관 창고 , 분할 임대 가능</t>
        </is>
      </c>
      <c r="Q647" s="6">
        <f>HYPERLINK("https://fin.land.naver.com/articles/2652879956",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408-1</t>
        </is>
      </c>
      <c r="B648" s="3" t="inlineStr">
        <is>
          <t>보전관리지역</t>
        </is>
      </c>
      <c r="C648" s="3" t="inlineStr">
        <is>
          <t>주유소용지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18000</v>
      </c>
      <c r="G648" s="4" t="n">
        <v>1800</v>
      </c>
      <c r="H648" s="4" t="n">
        <v>14876</v>
      </c>
      <c r="I648" s="4" t="n">
        <v>4500</v>
      </c>
      <c r="J648" s="5" t="n">
        <v>0.4</v>
      </c>
      <c r="K648" s="4" t="n">
        <v>990</v>
      </c>
      <c r="L648" s="4" t="n">
        <v>299</v>
      </c>
      <c r="M648" s="5" t="n">
        <v>6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남청주IC인근 귀한 고압가스신축창고 에어로졸 제품 저장창고</t>
        </is>
      </c>
      <c r="Q648" s="6">
        <f>HYPERLINK("https://fin.land.naver.com/articles/2655605320", "매물Link")</f>
        <v/>
      </c>
      <c r="R648" s="6">
        <f>HYPERLINK("https://map.naver.com/p/search/현도면 죽암리 408-1", "지도Link")</f>
        <v/>
      </c>
      <c r="S648" s="6">
        <f>HYPERLINK("http://www.eum.go.kr/web/ar/lu/luLandDet.jsp?pnu=4311232034104080001&amp;isNoScr=script&amp;mode=search", "토지이음")</f>
        <v/>
      </c>
      <c r="T648" s="3" t="inlineStr">
        <is>
          <t>태광</t>
        </is>
      </c>
      <c r="U648" s="4" t="n">
        <v>1</v>
      </c>
      <c r="V648" s="5" t="n">
        <v>43.8</v>
      </c>
      <c r="W648" s="4" t="n">
        <v>14876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408-1</t>
        </is>
      </c>
      <c r="B649" s="3" t="inlineStr">
        <is>
          <t>보전관리지역</t>
        </is>
      </c>
      <c r="C649" s="3" t="inlineStr">
        <is>
          <t>주유소용지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18000</v>
      </c>
      <c r="G649" s="4" t="n">
        <v>1800</v>
      </c>
      <c r="H649" s="4" t="n">
        <v>14876</v>
      </c>
      <c r="I649" s="4" t="n">
        <v>4500</v>
      </c>
      <c r="J649" s="5" t="n">
        <v>0.4</v>
      </c>
      <c r="K649" s="4" t="n">
        <v>994</v>
      </c>
      <c r="L649" s="4" t="n">
        <v>301</v>
      </c>
      <c r="M649" s="5" t="n">
        <v>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남청주IC인근 위험물보관창고</t>
        </is>
      </c>
      <c r="Q649" s="6">
        <f>HYPERLINK("https://fin.land.naver.com/articles/2652905225", "매물Link")</f>
        <v/>
      </c>
      <c r="R649" s="6">
        <f>HYPERLINK("https://map.naver.com/p/search/현도면 죽암리 408-1", "지도Link")</f>
        <v/>
      </c>
      <c r="S649" s="6">
        <f>HYPERLINK("http://www.eum.go.kr/web/ar/lu/luLandDet.jsp?pnu=4311232034104080001&amp;isNoScr=script&amp;mode=search", "토지이음")</f>
        <v/>
      </c>
      <c r="T649" s="3" t="inlineStr">
        <is>
          <t>창고의여왕</t>
        </is>
      </c>
      <c r="U649" s="4" t="n">
        <v>2</v>
      </c>
      <c r="V649" s="5" t="n">
        <v>43.8</v>
      </c>
      <c r="W649" s="4" t="n">
        <v>14876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408-1</t>
        </is>
      </c>
      <c r="B650" s="3" t="inlineStr">
        <is>
          <t>보전관리지역</t>
        </is>
      </c>
      <c r="C650" s="3" t="inlineStr">
        <is>
          <t>주유소용지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18000</v>
      </c>
      <c r="G650" s="4" t="n">
        <v>1800</v>
      </c>
      <c r="H650" s="4" t="n">
        <v>14876</v>
      </c>
      <c r="I650" s="4" t="n">
        <v>4500</v>
      </c>
      <c r="J650" s="5" t="n">
        <v>0.4</v>
      </c>
      <c r="K650" s="4" t="n">
        <v>990</v>
      </c>
      <c r="L650" s="4" t="n">
        <v>299</v>
      </c>
      <c r="M650" s="5" t="n">
        <v>6</v>
      </c>
      <c r="N650" s="3" t="inlineStr">
        <is>
          <t>2</t>
        </is>
      </c>
      <c r="O650" s="3" t="inlineStr">
        <is>
          <t>-</t>
        </is>
      </c>
      <c r="P650" s="3" t="inlineStr">
        <is>
          <t>위험물 저장 및 처리시설 고압 가스 보관 신축 창고 임대</t>
        </is>
      </c>
      <c r="Q650" s="6">
        <f>HYPERLINK("https://fin.land.naver.com/articles/2653576498", "매물Link")</f>
        <v/>
      </c>
      <c r="R650" s="6">
        <f>HYPERLINK("https://map.naver.com/p/search/현도면 죽암리 408-1", "지도Link")</f>
        <v/>
      </c>
      <c r="S650" s="6">
        <f>HYPERLINK("http://www.eum.go.kr/web/ar/lu/luLandDet.jsp?pnu=4311232034104080001&amp;isNoScr=script&amp;mode=search",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43.8</v>
      </c>
      <c r="W650" s="4" t="n">
        <v>14876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20000</v>
      </c>
      <c r="G651" s="4" t="n">
        <v>2000</v>
      </c>
      <c r="H651" s="4" t="n">
        <v>19215</v>
      </c>
      <c r="I651" s="4" t="n">
        <v>5813</v>
      </c>
      <c r="J651" s="5" t="n">
        <v>0.3</v>
      </c>
      <c r="K651" s="4" t="n">
        <v>7120</v>
      </c>
      <c r="L651" s="4" t="n">
        <v>2154</v>
      </c>
      <c r="M651" s="5" t="n">
        <v>0.9</v>
      </c>
      <c r="N651" s="3" t="inlineStr">
        <is>
          <t>3</t>
        </is>
      </c>
      <c r="O651" s="3" t="inlineStr">
        <is>
          <t>B1</t>
        </is>
      </c>
      <c r="P651" s="3" t="inlineStr">
        <is>
          <t>진출입 편리한 대형 냉동냉장창고 다양한 평수 가능 상세정보 확인요망</t>
        </is>
      </c>
      <c r="Q651" s="6">
        <f>HYPERLINK("https://fin.land.naver.com/articles/2655616952",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태광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9400</v>
      </c>
      <c r="G652" s="4" t="n">
        <v>940</v>
      </c>
      <c r="H652" s="4" t="n">
        <v>19215</v>
      </c>
      <c r="I652" s="4" t="n">
        <v>5813</v>
      </c>
      <c r="J652" s="5" t="n">
        <v>0.2</v>
      </c>
      <c r="K652" s="4" t="n">
        <v>517</v>
      </c>
      <c r="L652" s="4" t="n">
        <v>156</v>
      </c>
      <c r="M652" s="5" t="n">
        <v>6</v>
      </c>
      <c r="N652" s="3" t="inlineStr">
        <is>
          <t>3</t>
        </is>
      </c>
      <c r="O652" s="3" t="inlineStr">
        <is>
          <t>B1</t>
        </is>
      </c>
      <c r="P652" s="3" t="inlineStr">
        <is>
          <t>남청주ic 4분거리로 고속도로 접근성좋은위치의냉동창고임대</t>
        </is>
      </c>
      <c r="Q652" s="6">
        <f>HYPERLINK("https://fin.land.naver.com/articles/2652625528",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더원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9400</v>
      </c>
      <c r="G653" s="4" t="n">
        <v>940</v>
      </c>
      <c r="H653" s="4" t="n">
        <v>19215</v>
      </c>
      <c r="I653" s="4" t="n">
        <v>5813</v>
      </c>
      <c r="J653" s="5" t="n">
        <v>0.2</v>
      </c>
      <c r="K653" s="4" t="n">
        <v>7120</v>
      </c>
      <c r="L653" s="4" t="n">
        <v>2154</v>
      </c>
      <c r="M653" s="5" t="n">
        <v>0.4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대형냉동냉장창고 다양한 평수가능 남청주IC인근 진출입용이 상세내용 확인</t>
        </is>
      </c>
      <c r="Q653" s="6">
        <f>HYPERLINK("https://fin.land.naver.com/articles/2654872944",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56000</v>
      </c>
      <c r="G654" s="4" t="n">
        <v>5600</v>
      </c>
      <c r="H654" s="4" t="n">
        <v>59748</v>
      </c>
      <c r="I654" s="4" t="n">
        <v>18074</v>
      </c>
      <c r="J654" s="5" t="n">
        <v>0.3</v>
      </c>
      <c r="K654" s="4" t="n">
        <v>6520</v>
      </c>
      <c r="L654" s="4" t="n">
        <v>1972</v>
      </c>
      <c r="M654" s="5" t="n">
        <v>2.8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 상온창고 도크시설완비 남청주IC인근, 층고6m</t>
        </is>
      </c>
      <c r="Q654" s="6">
        <f>HYPERLINK("https://fin.land.naver.com/articles/2655945594",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(주)미르</t>
        </is>
      </c>
      <c r="U654" s="4" t="n">
        <v>2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-</t>
        </is>
      </c>
      <c r="P655" s="3" t="inlineStr">
        <is>
          <t>사진有 저온 창고 임대</t>
        </is>
      </c>
      <c r="Q655" s="6">
        <f>HYPERLINK("https://fin.land.naver.com/articles/2652988644",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월드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11000</v>
      </c>
      <c r="G656" s="4" t="n">
        <v>1100</v>
      </c>
      <c r="H656" s="4" t="n">
        <v>63520</v>
      </c>
      <c r="I656" s="4" t="n">
        <v>19215</v>
      </c>
      <c r="J656" s="5" t="n">
        <v>0.1</v>
      </c>
      <c r="K656" s="4" t="n">
        <v>628</v>
      </c>
      <c r="L656" s="4" t="n">
        <v>190</v>
      </c>
      <c r="M656" s="5" t="n">
        <v>5.8</v>
      </c>
      <c r="N656" s="3" t="inlineStr">
        <is>
          <t>3</t>
        </is>
      </c>
      <c r="O656" s="3" t="inlineStr">
        <is>
          <t>B1</t>
        </is>
      </c>
      <c r="P656" s="3" t="inlineStr">
        <is>
          <t>즉시 사용 가능한 남청주 IC 인근 냉장 냉동 창고 및 유통 창고 임대</t>
        </is>
      </c>
      <c r="Q656" s="6">
        <f>HYPERLINK("https://fin.land.naver.com/articles/2652883410",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35000</v>
      </c>
      <c r="G657" s="4" t="n">
        <v>3500</v>
      </c>
      <c r="H657" s="4" t="n">
        <v>19215</v>
      </c>
      <c r="I657" s="4" t="n">
        <v>5813</v>
      </c>
      <c r="J657" s="5" t="n">
        <v>0.6</v>
      </c>
      <c r="K657" s="4" t="n">
        <v>2269</v>
      </c>
      <c r="L657" s="4" t="n">
        <v>686</v>
      </c>
      <c r="M657" s="5" t="n">
        <v>5.1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남청주ic4분거리 대형컨테이너차량 접안가능 냉동냉장상온창고임대</t>
        </is>
      </c>
      <c r="Q657" s="6">
        <f>HYPERLINK("https://fin.land.naver.com/articles/2652625565",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26000</v>
      </c>
      <c r="G658" s="4" t="n">
        <v>2600</v>
      </c>
      <c r="H658" s="4" t="n">
        <v>19215</v>
      </c>
      <c r="I658" s="4" t="n">
        <v>5813</v>
      </c>
      <c r="J658" s="5" t="n">
        <v>0.4</v>
      </c>
      <c r="K658" s="4" t="n">
        <v>2948</v>
      </c>
      <c r="L658" s="4" t="n">
        <v>892</v>
      </c>
      <c r="M658" s="5" t="n">
        <v>2.9</v>
      </c>
      <c r="N658" s="3" t="inlineStr">
        <is>
          <t>3</t>
        </is>
      </c>
      <c r="O658" s="3" t="inlineStr">
        <is>
          <t>-</t>
        </is>
      </c>
      <c r="P658" s="3" t="inlineStr">
        <is>
          <t>사진有 창고 임대</t>
        </is>
      </c>
      <c r="Q658" s="6">
        <f>HYPERLINK("https://fin.land.naver.com/articles/2652988691",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월드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11000</v>
      </c>
      <c r="G659" s="4" t="n">
        <v>1100</v>
      </c>
      <c r="H659" s="4" t="n">
        <v>19215</v>
      </c>
      <c r="I659" s="4" t="n">
        <v>5813</v>
      </c>
      <c r="J659" s="5" t="n">
        <v>0.2</v>
      </c>
      <c r="K659" s="4" t="n">
        <v>628</v>
      </c>
      <c r="L659" s="4" t="n">
        <v>190</v>
      </c>
      <c r="M659" s="5" t="n">
        <v>5.8</v>
      </c>
      <c r="N659" s="3" t="inlineStr">
        <is>
          <t>3</t>
        </is>
      </c>
      <c r="O659" s="3" t="inlineStr">
        <is>
          <t>B1</t>
        </is>
      </c>
      <c r="P659" s="3" t="inlineStr">
        <is>
          <t>남청주ic4분거리 고속도로 접근성 최상냉동창고임대 대형컨테이너차량접안가능</t>
        </is>
      </c>
      <c r="Q659" s="6">
        <f>HYPERLINK("https://fin.land.naver.com/articles/2652625417",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11000</v>
      </c>
      <c r="G661" s="4" t="n">
        <v>1100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0.5</v>
      </c>
      <c r="N661" s="3" t="inlineStr">
        <is>
          <t>3</t>
        </is>
      </c>
      <c r="O661" s="3" t="inlineStr">
        <is>
          <t>B1</t>
        </is>
      </c>
      <c r="P661" s="3" t="inlineStr">
        <is>
          <t>남청주IC 인근 대형 냉동 냉장창고 임대 다양한 평수 상세정보 확인요망</t>
        </is>
      </c>
      <c r="Q661" s="6">
        <f>HYPERLINK("https://fin.land.naver.com/articles/2654877131",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25000</v>
      </c>
      <c r="G662" s="4" t="n">
        <v>2500</v>
      </c>
      <c r="H662" s="4" t="n">
        <v>19215</v>
      </c>
      <c r="I662" s="4" t="n">
        <v>5813</v>
      </c>
      <c r="J662" s="5" t="n">
        <v>0.4</v>
      </c>
      <c r="K662" s="4" t="n">
        <v>1373</v>
      </c>
      <c r="L662" s="4" t="n">
        <v>415</v>
      </c>
      <c r="M662" s="5" t="n">
        <v>6</v>
      </c>
      <c r="N662" s="3" t="inlineStr">
        <is>
          <t>3</t>
        </is>
      </c>
      <c r="O662" s="3" t="inlineStr">
        <is>
          <t>B1</t>
        </is>
      </c>
      <c r="P662" s="3" t="inlineStr">
        <is>
          <t>즉시 사용 가능한 냉동, 냉장 창고 임대, 도크시설 남청주IC 인접</t>
        </is>
      </c>
      <c r="Q662" s="6">
        <f>HYPERLINK("https://fin.land.naver.com/articles/2651936825",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대전토지로무소</t>
        </is>
      </c>
      <c r="U662" s="4" t="n">
        <v>2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매매</t>
        </is>
      </c>
      <c r="F664" s="4" t="n">
        <v>450000</v>
      </c>
      <c r="G664" s="4" t="n">
        <v>0</v>
      </c>
      <c r="H664" s="4" t="n">
        <v>4819</v>
      </c>
      <c r="I664" s="4" t="n">
        <v>1458</v>
      </c>
      <c r="J664" s="5" t="n">
        <v>308.6</v>
      </c>
      <c r="K664" s="4" t="n">
        <v>3752</v>
      </c>
      <c r="L664" s="4" t="n">
        <v>1135</v>
      </c>
      <c r="M664" s="5" t="n">
        <v>396.5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인근대형차 진출입태양광 수익,죽전리 대형창 매매</t>
        </is>
      </c>
      <c r="Q664" s="6">
        <f>HYPERLINK("https://fin.land.naver.com/articles/2656312511",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신탄진다온</t>
        </is>
      </c>
      <c r="U664" s="4" t="n">
        <v>2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10000</v>
      </c>
      <c r="G665" s="4" t="n">
        <v>1000</v>
      </c>
      <c r="H665" s="4" t="n">
        <v>4819</v>
      </c>
      <c r="I665" s="4" t="n">
        <v>1458</v>
      </c>
      <c r="J665" s="5" t="n">
        <v>0.7</v>
      </c>
      <c r="K665" s="4" t="n">
        <v>1751</v>
      </c>
      <c r="L665" s="4" t="n">
        <v>530</v>
      </c>
      <c r="M665" s="5" t="n">
        <v>1.9</v>
      </c>
      <c r="N665" s="3" t="inlineStr">
        <is>
          <t>2</t>
        </is>
      </c>
      <c r="O665" s="3" t="inlineStr">
        <is>
          <t>-</t>
        </is>
      </c>
      <c r="P665" s="3" t="inlineStr">
        <is>
          <t>도크 시설, 화물 엘리베이터 있는 남청주 IC 인근 물류창고 사무실 있음</t>
        </is>
      </c>
      <c r="Q665" s="6">
        <f>HYPERLINK("https://fin.land.naver.com/articles/2652879648",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현도면 산업단지 창고 시설 매매 대형 화물차 진출입 용이 ic근접</t>
        </is>
      </c>
      <c r="Q666" s="6">
        <f>HYPERLINK("https://fin.land.naver.com/articles/2653689719",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은행나무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22000</v>
      </c>
      <c r="G667" s="4" t="n">
        <v>2200</v>
      </c>
      <c r="H667" s="4" t="n">
        <v>4819</v>
      </c>
      <c r="I667" s="4" t="n">
        <v>1458</v>
      </c>
      <c r="J667" s="5" t="n">
        <v>1.5</v>
      </c>
      <c r="K667" s="4" t="n">
        <v>3572</v>
      </c>
      <c r="L667" s="4" t="n">
        <v>1081</v>
      </c>
      <c r="M667" s="5" t="n">
        <v>2</v>
      </c>
      <c r="N667" s="3" t="inlineStr">
        <is>
          <t>2</t>
        </is>
      </c>
      <c r="O667" s="3" t="inlineStr">
        <is>
          <t>-</t>
        </is>
      </c>
      <c r="P667" s="3" t="inlineStr">
        <is>
          <t>남청주IC인근 진출입용이 매우 저렴한 깔끔한 대형창고 임대</t>
        </is>
      </c>
      <c r="Q667" s="6">
        <f>HYPERLINK("https://fin.land.naver.com/articles/2654874017",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4870</v>
      </c>
      <c r="I668" s="4" t="n">
        <v>1473</v>
      </c>
      <c r="J668" s="5" t="n">
        <v>305.5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도크 시설 있는 물류창고 남청주 IC 인근 대형차 진출입 원활,</t>
        </is>
      </c>
      <c r="Q668" s="6">
        <f>HYPERLINK("https://fin.land.naver.com/articles/2655488468",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대전토지로무소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남청주IC인근으로 대형차진출입 용이,대로에서 약300m,사무동 보유</t>
        </is>
      </c>
      <c r="Q669" s="6">
        <f>HYPERLINK("https://fin.land.naver.com/articles/2654990711",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(주)미르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5분, 도크시설 있음 2톤 화물리프트 신설, 물류창고 최적</t>
        </is>
      </c>
      <c r="Q670" s="6">
        <f>HYPERLINK("https://fin.land.naver.com/articles/2653810240",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대성오투그란데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7분거리 이며 죽암휴게소인근으로 경부고속도로 인접한 물류창고</t>
        </is>
      </c>
      <c r="Q671" s="6">
        <f>HYPERLINK("https://fin.land.naver.com/articles/2654178454",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인근으로 대형차 진출입이 편리한 창고 임대</t>
        </is>
      </c>
      <c r="Q672" s="6">
        <f>HYPERLINK("https://fin.land.naver.com/articles/2652114936",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325000</v>
      </c>
      <c r="G673" s="4" t="n">
        <v>0</v>
      </c>
      <c r="H673" s="4" t="n">
        <v>8464</v>
      </c>
      <c r="I673" s="4" t="n">
        <v>2560</v>
      </c>
      <c r="J673" s="5" t="n">
        <v>127</v>
      </c>
      <c r="K673" s="4" t="n">
        <v>3290</v>
      </c>
      <c r="L673" s="4" t="n">
        <v>995</v>
      </c>
      <c r="M673" s="5" t="n">
        <v>326.6</v>
      </c>
      <c r="N673" s="3" t="inlineStr">
        <is>
          <t>3</t>
        </is>
      </c>
      <c r="O673" s="3" t="inlineStr">
        <is>
          <t>-</t>
        </is>
      </c>
      <c r="P673" s="3" t="inlineStr">
        <is>
          <t>광고효과 좋은 공장 창고 매매, 화물엘베 있고 호이스트  도크시설 있음</t>
        </is>
      </c>
      <c r="Q673" s="6">
        <f>HYPERLINK("https://fin.land.naver.com/articles/2654904343",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360-1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300000</v>
      </c>
      <c r="G674" s="4" t="n">
        <v>0</v>
      </c>
      <c r="H674" s="4" t="n">
        <v>8464</v>
      </c>
      <c r="I674" s="4" t="n">
        <v>2560</v>
      </c>
      <c r="J674" s="5" t="n">
        <v>117.2</v>
      </c>
      <c r="K674" s="4" t="n">
        <v>3290</v>
      </c>
      <c r="L674" s="4" t="n">
        <v>995</v>
      </c>
      <c r="M674" s="5" t="n">
        <v>301.5</v>
      </c>
      <c r="N674" s="3" t="inlineStr">
        <is>
          <t>3</t>
        </is>
      </c>
      <c r="O674" s="3" t="inlineStr">
        <is>
          <t>-</t>
        </is>
      </c>
      <c r="P674" s="3" t="inlineStr">
        <is>
          <t>남청주IC 인근, 화물엘리베이터, 호이스트, 도크시설 완비</t>
        </is>
      </c>
      <c r="Q674" s="6">
        <f>HYPERLINK("https://fin.land.naver.com/articles/2654295332", "매물Link")</f>
        <v/>
      </c>
      <c r="R674" s="6">
        <f>HYPERLINK("https://map.naver.com/p/search/현도면 죽전리 360-1", "지도Link")</f>
        <v/>
      </c>
      <c r="S674" s="6">
        <f>HYPERLINK("http://www.eum.go.kr/web/ar/lu/luLandDet.jsp?pnu=4311232023103600001&amp;isNoScr=script&amp;mode=search",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56.5</v>
      </c>
      <c r="W674" s="4" t="n">
        <v>8464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360-1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10000</v>
      </c>
      <c r="G675" s="4" t="n">
        <v>1000</v>
      </c>
      <c r="H675" s="4" t="n">
        <v>8464</v>
      </c>
      <c r="I675" s="4" t="n">
        <v>2560</v>
      </c>
      <c r="J675" s="5" t="n">
        <v>0.4</v>
      </c>
      <c r="K675" s="4" t="n">
        <v>3290</v>
      </c>
      <c r="L675" s="4" t="n">
        <v>995</v>
      </c>
      <c r="M675" s="5" t="n">
        <v>1</v>
      </c>
      <c r="N675" s="3" t="inlineStr">
        <is>
          <t>3</t>
        </is>
      </c>
      <c r="O675" s="3" t="inlineStr">
        <is>
          <t>-</t>
        </is>
      </c>
      <c r="P675" s="3" t="inlineStr">
        <is>
          <t>남청주IC 인근, 화물엘리베이터, 호이스트, 도크시설 완비</t>
        </is>
      </c>
      <c r="Q675" s="6">
        <f>HYPERLINK("https://fin.land.naver.com/articles/2654295356", "매물Link")</f>
        <v/>
      </c>
      <c r="R675" s="6">
        <f>HYPERLINK("https://map.naver.com/p/search/현도면 죽전리 360-1", "지도Link")</f>
        <v/>
      </c>
      <c r="S675" s="6">
        <f>HYPERLINK("http://www.eum.go.kr/web/ar/lu/luLandDet.jsp?pnu=4311232023103600001&amp;isNoScr=script&amp;mode=search",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56.5</v>
      </c>
      <c r="W675" s="4" t="n">
        <v>8464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360-1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350000</v>
      </c>
      <c r="G676" s="4" t="n">
        <v>0</v>
      </c>
      <c r="H676" s="4" t="n">
        <v>8464</v>
      </c>
      <c r="I676" s="4" t="n">
        <v>2560</v>
      </c>
      <c r="J676" s="5" t="n">
        <v>136.7</v>
      </c>
      <c r="K676" s="4" t="n">
        <v>3290</v>
      </c>
      <c r="L676" s="4" t="n">
        <v>995</v>
      </c>
      <c r="M676" s="5" t="n">
        <v>351.8</v>
      </c>
      <c r="N676" s="3" t="inlineStr">
        <is>
          <t>3</t>
        </is>
      </c>
      <c r="O676" s="3" t="inlineStr">
        <is>
          <t>B1</t>
        </is>
      </c>
      <c r="P676" s="3" t="inlineStr">
        <is>
          <t>층고7m 전력3kw 호이스트2.8톤2기 남청주IC 경부고속도로 현도산단인</t>
        </is>
      </c>
      <c r="Q676" s="6">
        <f>HYPERLINK("https://fin.land.naver.com/articles/2653347280", "매물Link")</f>
        <v/>
      </c>
      <c r="R676" s="6">
        <f>HYPERLINK("https://map.naver.com/p/search/현도면 죽전리 360-1", "지도Link")</f>
        <v/>
      </c>
      <c r="S676" s="6">
        <f>HYPERLINK("http://www.eum.go.kr/web/ar/lu/luLandDet.jsp?pnu=4311232023103600001&amp;isNoScr=script&amp;mode=search", "토지이음")</f>
        <v/>
      </c>
      <c r="T676" s="3" t="inlineStr">
        <is>
          <t>에이피엔주식회사</t>
        </is>
      </c>
      <c r="U676" s="4" t="n">
        <v>1</v>
      </c>
      <c r="V676" s="5" t="n">
        <v>56.5</v>
      </c>
      <c r="W676" s="4" t="n">
        <v>8464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죽전리 620-3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120000</v>
      </c>
      <c r="G677" s="4" t="n">
        <v>0</v>
      </c>
      <c r="H677" s="4" t="n">
        <v>1937</v>
      </c>
      <c r="I677" s="4" t="n">
        <v>586</v>
      </c>
      <c r="J677" s="5" t="n">
        <v>204.8</v>
      </c>
      <c r="K677" s="4" t="n">
        <v>383</v>
      </c>
      <c r="L677" s="4" t="n">
        <v>116</v>
      </c>
      <c r="M677" s="5" t="n">
        <v>1034.5</v>
      </c>
      <c r="N677" s="3" t="inlineStr">
        <is>
          <t>1</t>
        </is>
      </c>
      <c r="O677" s="3" t="inlineStr">
        <is>
          <t>-</t>
        </is>
      </c>
      <c r="P677" s="3" t="inlineStr">
        <is>
          <t>대형차 진출입 가능한 마당 넓은 창고 및 사무실 작업장 매매</t>
        </is>
      </c>
      <c r="Q677" s="6">
        <f>HYPERLINK("https://fin.land.naver.com/articles/2655486622", "매물Link")</f>
        <v/>
      </c>
      <c r="R677" s="6">
        <f>HYPERLINK("https://map.naver.com/p/search/현도면 죽전리 620-3", "지도Link")</f>
        <v/>
      </c>
      <c r="S677" s="6">
        <f>HYPERLINK("http://www.eum.go.kr/web/ar/lu/luLandDet.jsp?pnu=4311232023106200003&amp;isNoScr=script&amp;mode=search",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54.3</v>
      </c>
      <c r="W677" s="4" t="n">
        <v>1937.1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620-3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매매</t>
        </is>
      </c>
      <c r="F678" s="4" t="n">
        <v>120000</v>
      </c>
      <c r="G678" s="4" t="n">
        <v>0</v>
      </c>
      <c r="H678" s="4" t="n">
        <v>1937</v>
      </c>
      <c r="I678" s="4" t="n">
        <v>586</v>
      </c>
      <c r="J678" s="5" t="n">
        <v>204.8</v>
      </c>
      <c r="K678" s="4" t="n">
        <v>383</v>
      </c>
      <c r="L678" s="4" t="n">
        <v>116</v>
      </c>
      <c r="M678" s="5" t="n">
        <v>1034.5</v>
      </c>
      <c r="N678" s="3" t="inlineStr">
        <is>
          <t>1</t>
        </is>
      </c>
      <c r="O678" s="3" t="inlineStr">
        <is>
          <t>-</t>
        </is>
      </c>
      <c r="P678" s="3" t="inlineStr">
        <is>
          <t>계획관리지역, 사무동,창고로 구성된 3개동 창고 토지 매매</t>
        </is>
      </c>
      <c r="Q678" s="6">
        <f>HYPERLINK("https://fin.land.naver.com/articles/2652769960", "매물Link")</f>
        <v/>
      </c>
      <c r="R678" s="6">
        <f>HYPERLINK("https://map.naver.com/p/search/현도면 죽전리 620-3", "지도Link")</f>
        <v/>
      </c>
      <c r="S678" s="6">
        <f>HYPERLINK("http://www.eum.go.kr/web/ar/lu/luLandDet.jsp?pnu=4311232023106200003&amp;isNoScr=script&amp;mode=search", "토지이음")</f>
        <v/>
      </c>
      <c r="T678" s="3" t="inlineStr">
        <is>
          <t>금화랜드</t>
        </is>
      </c>
      <c r="U678" s="4" t="n">
        <v>1</v>
      </c>
      <c r="V678" s="5" t="n">
        <v>54.3</v>
      </c>
      <c r="W678" s="4" t="n">
        <v>1937.1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12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남청주IC인근, 현도일반산업단지 바로 옆 저렴한 공장매매</t>
        </is>
      </c>
      <c r="Q679" s="6">
        <f>HYPERLINK("https://fin.land.naver.com/articles/2654778642", "매물Link")</f>
        <v/>
      </c>
      <c r="R679" s="6">
        <f>HYPERLINK("https://map.naver.com/p/search/현도면 중삼리 12", "지도Link")</f>
        <v/>
      </c>
      <c r="S679" s="6">
        <f>HYPERLINK("http://www.eum.go.kr/web/ar/lu/luLandDet.jsp?pnu=4311232022100120000&amp;isNoScr=script&amp;mode=search",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56.1</v>
      </c>
      <c r="W679" s="4" t="n">
        <v>2418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12-1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514500</v>
      </c>
      <c r="G680" s="4" t="n">
        <v>0</v>
      </c>
      <c r="H680" s="4" t="n">
        <v>11336</v>
      </c>
      <c r="I680" s="4" t="n">
        <v>3429</v>
      </c>
      <c r="J680" s="5" t="n">
        <v>150</v>
      </c>
      <c r="K680" s="4" t="n">
        <v>2794</v>
      </c>
      <c r="L680" s="4" t="n">
        <v>845</v>
      </c>
      <c r="M680" s="5" t="n">
        <v>608.9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남청주IC인근,도시가스인입,현도일반산업단지 바로 옆 저렴한 공장매매</t>
        </is>
      </c>
      <c r="Q680" s="6">
        <f>HYPERLINK("https://fin.land.naver.com/articles/2655092999", "매물Link")</f>
        <v/>
      </c>
      <c r="R680" s="6">
        <f>HYPERLINK("https://map.naver.com/p/search/현도면 중삼리 12-1", "지도Link")</f>
        <v/>
      </c>
      <c r="S680" s="6">
        <f>HYPERLINK("http://www.eum.go.kr/web/ar/lu/luLandDet.jsp?pnu=4311232022100120001&amp;isNoScr=script&amp;mode=search",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53.5</v>
      </c>
      <c r="W680" s="4" t="n">
        <v>2748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12-1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매매</t>
        </is>
      </c>
      <c r="F681" s="4" t="n">
        <v>125000</v>
      </c>
      <c r="G681" s="4" t="n">
        <v>0</v>
      </c>
      <c r="H681" s="4" t="n">
        <v>2748</v>
      </c>
      <c r="I681" s="4" t="n">
        <v>831</v>
      </c>
      <c r="J681" s="5" t="n">
        <v>150.4</v>
      </c>
      <c r="K681" s="4" t="n">
        <v>451</v>
      </c>
      <c r="L681" s="4" t="n">
        <v>136</v>
      </c>
      <c r="M681" s="5" t="n">
        <v>919.1</v>
      </c>
      <c r="N681" s="3" t="inlineStr">
        <is>
          <t>1</t>
        </is>
      </c>
      <c r="O681" s="3" t="inlineStr">
        <is>
          <t>-</t>
        </is>
      </c>
      <c r="P681" s="3" t="inlineStr">
        <is>
          <t>남청주ic 7분  도시가스 인입 투자가치 좋은 공장매매</t>
        </is>
      </c>
      <c r="Q681" s="6">
        <f>HYPERLINK("https://fin.land.naver.com/articles/2654181576", "매물Link")</f>
        <v/>
      </c>
      <c r="R681" s="6">
        <f>HYPERLINK("https://map.naver.com/p/search/현도면 중삼리 12-1", "지도Link")</f>
        <v/>
      </c>
      <c r="S681" s="6">
        <f>HYPERLINK("http://www.eum.go.kr/web/ar/lu/luLandDet.jsp?pnu=4311232022100120001&amp;isNoScr=script&amp;mode=search", "토지이음")</f>
        <v/>
      </c>
      <c r="T681" s="3" t="inlineStr">
        <is>
          <t>더원</t>
        </is>
      </c>
      <c r="U681" s="4" t="n">
        <v>1</v>
      </c>
      <c r="V681" s="5" t="n">
        <v>53.5</v>
      </c>
      <c r="W681" s="4" t="n">
        <v>2748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13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206000</v>
      </c>
      <c r="G682" s="4" t="n">
        <v>0</v>
      </c>
      <c r="H682" s="4" t="n">
        <v>4545</v>
      </c>
      <c r="I682" s="4" t="n">
        <v>1375</v>
      </c>
      <c r="J682" s="5" t="n">
        <v>149.8</v>
      </c>
      <c r="K682" s="4" t="n">
        <v>803</v>
      </c>
      <c r="L682" s="4" t="n">
        <v>243</v>
      </c>
      <c r="M682" s="5" t="n">
        <v>847.7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접근성 좋은 위치의 토지가격으로 책정한 투자가치좋은 공장매매</t>
        </is>
      </c>
      <c r="Q682" s="6">
        <f>HYPERLINK("https://fin.land.naver.com/articles/2654180030", "매물Link")</f>
        <v/>
      </c>
      <c r="R682" s="6">
        <f>HYPERLINK("https://map.naver.com/p/search/현도면 중삼리 13", "지도Link")</f>
        <v/>
      </c>
      <c r="S682" s="6">
        <f>HYPERLINK("http://www.eum.go.kr/web/ar/lu/luLandDet.jsp?pnu=4311232022100130000&amp;isNoScr=script&amp;mode=search", "토지이음")</f>
        <v/>
      </c>
      <c r="T682" s="3" t="inlineStr">
        <is>
          <t>더원</t>
        </is>
      </c>
      <c r="U682" s="4" t="n">
        <v>1</v>
      </c>
      <c r="V682" s="5" t="n">
        <v>53.5</v>
      </c>
      <c r="W682" s="4" t="n">
        <v>2127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144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3000</v>
      </c>
      <c r="G683" s="4" t="n">
        <v>250</v>
      </c>
      <c r="H683" s="4" t="n">
        <v>717</v>
      </c>
      <c r="I683" s="4" t="n">
        <v>217</v>
      </c>
      <c r="J683" s="5" t="n">
        <v>1.2</v>
      </c>
      <c r="K683" s="4" t="n">
        <v>330</v>
      </c>
      <c r="L683" s="4" t="n">
        <v>100</v>
      </c>
      <c r="M683" s="5" t="n">
        <v>2.5</v>
      </c>
      <c r="N683" s="3" t="inlineStr">
        <is>
          <t>2</t>
        </is>
      </c>
      <c r="O683" s="3" t="inlineStr">
        <is>
          <t>-</t>
        </is>
      </c>
      <c r="P683" s="3" t="inlineStr">
        <is>
          <t>실사진0k 층고9m 깔끔하게 관리잘된 근생창고 대형트럭 진입가능</t>
        </is>
      </c>
      <c r="Q683" s="6">
        <f>HYPERLINK("https://fin.land.naver.com/articles/2655035107", "매물Link")</f>
        <v/>
      </c>
      <c r="R683" s="6">
        <f>HYPERLINK("https://map.naver.com/p/search/현도면 중삼리 144", "지도Link")</f>
        <v/>
      </c>
      <c r="S683" s="6">
        <f>HYPERLINK("http://www.eum.go.kr/web/ar/lu/luLandDet.jsp?pnu=4311232022101440000&amp;isNoScr=script&amp;mode=search", "토지이음")</f>
        <v/>
      </c>
      <c r="T683" s="3" t="inlineStr">
        <is>
          <t>이음</t>
        </is>
      </c>
      <c r="U683" s="4" t="n">
        <v>1</v>
      </c>
      <c r="V683" s="5" t="n">
        <v>58</v>
      </c>
      <c r="W683" s="4" t="n">
        <v>717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144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월세</t>
        </is>
      </c>
      <c r="F684" s="4" t="n">
        <v>3000</v>
      </c>
      <c r="G684" s="4" t="n">
        <v>250</v>
      </c>
      <c r="H684" s="4" t="n">
        <v>717</v>
      </c>
      <c r="I684" s="4" t="n">
        <v>217</v>
      </c>
      <c r="J684" s="5" t="n">
        <v>1.2</v>
      </c>
      <c r="K684" s="4" t="n">
        <v>330</v>
      </c>
      <c r="L684" s="4" t="n">
        <v>100</v>
      </c>
      <c r="M684" s="5" t="n">
        <v>2.5</v>
      </c>
      <c r="N684" s="3" t="inlineStr">
        <is>
          <t>2</t>
        </is>
      </c>
      <c r="O684" s="3" t="inlineStr">
        <is>
          <t>-</t>
        </is>
      </c>
      <c r="P684" s="3" t="inlineStr">
        <is>
          <t>2차선 접해있는 신축급 공장입니다</t>
        </is>
      </c>
      <c r="Q684" s="6">
        <f>HYPERLINK("https://fin.land.naver.com/articles/2653097011", "매물Link")</f>
        <v/>
      </c>
      <c r="R684" s="6">
        <f>HYPERLINK("https://map.naver.com/p/search/현도면 중삼리 144", "지도Link")</f>
        <v/>
      </c>
      <c r="S684" s="6">
        <f>HYPERLINK("http://www.eum.go.kr/web/ar/lu/luLandDet.jsp?pnu=4311232022101440000&amp;isNoScr=script&amp;mode=search",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</v>
      </c>
      <c r="W684" s="4" t="n">
        <v>717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144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3000</v>
      </c>
      <c r="G685" s="4" t="n">
        <v>250</v>
      </c>
      <c r="H685" s="4" t="n">
        <v>717</v>
      </c>
      <c r="I685" s="4" t="n">
        <v>217</v>
      </c>
      <c r="J685" s="5" t="n">
        <v>1.2</v>
      </c>
      <c r="K685" s="4" t="n">
        <v>330</v>
      </c>
      <c r="L685" s="4" t="n">
        <v>100</v>
      </c>
      <c r="M685" s="5" t="n">
        <v>2.5</v>
      </c>
      <c r="N685" s="3" t="inlineStr">
        <is>
          <t>2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HYPERLINK("https://fin.land.naver.com/articles/2651863359", "매물Link")</f>
        <v/>
      </c>
      <c r="R685" s="6">
        <f>HYPERLINK("https://map.naver.com/p/search/현도면 중삼리 144", "지도Link")</f>
        <v/>
      </c>
      <c r="S685" s="6">
        <f>HYPERLINK("http://www.eum.go.kr/web/ar/lu/luLandDet.jsp?pnu=4311232022101440000&amp;isNoScr=script&amp;mode=search", "토지이음")</f>
        <v/>
      </c>
      <c r="T685" s="3" t="inlineStr">
        <is>
          <t>KS</t>
        </is>
      </c>
      <c r="U685" s="4" t="n">
        <v>1</v>
      </c>
      <c r="V685" s="5" t="n">
        <v>58</v>
      </c>
      <c r="W685" s="4" t="n">
        <v>717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360000</v>
      </c>
      <c r="G686" s="4" t="n">
        <v>0</v>
      </c>
      <c r="H686" s="4" t="n">
        <v>6329</v>
      </c>
      <c r="I686" s="4" t="n">
        <v>1915</v>
      </c>
      <c r="J686" s="5" t="n">
        <v>188</v>
      </c>
      <c r="K686" s="4" t="n">
        <v>2930</v>
      </c>
      <c r="L686" s="4" t="n">
        <v>886</v>
      </c>
      <c r="M686" s="5" t="n">
        <v>406.3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 IC인근, 호이스트, 높은층고, 주요도시 이동 편리</t>
        </is>
      </c>
      <c r="Q686" s="6">
        <f>HYPERLINK("https://fin.land.naver.com/articles/2655093041", "매물Link")</f>
        <v/>
      </c>
      <c r="R686" s="6">
        <f>HYPERLINK("https://map.naver.com/p/search/현도면 중삼리 18", "지도Link")</f>
        <v/>
      </c>
      <c r="S686" s="6">
        <f>HYPERLINK("http://www.eum.go.kr/web/ar/lu/luLandDet.jsp?pnu=4311232022100180000&amp;isNoScr=script&amp;mode=search",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61.7</v>
      </c>
      <c r="W686" s="4" t="n">
        <v>4088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18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360000</v>
      </c>
      <c r="G687" s="4" t="n">
        <v>0</v>
      </c>
      <c r="H687" s="4" t="n">
        <v>6340</v>
      </c>
      <c r="I687" s="4" t="n">
        <v>1918</v>
      </c>
      <c r="J687" s="5" t="n">
        <v>187.7</v>
      </c>
      <c r="K687" s="4" t="n">
        <v>2934</v>
      </c>
      <c r="L687" s="4" t="n">
        <v>888</v>
      </c>
      <c r="M687" s="5" t="n">
        <v>405.4</v>
      </c>
      <c r="N687" s="3" t="inlineStr">
        <is>
          <t>3</t>
        </is>
      </c>
      <c r="O687" s="3" t="inlineStr">
        <is>
          <t>-</t>
        </is>
      </c>
      <c r="P687" s="3" t="inlineStr">
        <is>
          <t>즉시 사용가능한 마당넓고 층고높고 2차선 접해 있고 호이스트2대인 공장</t>
        </is>
      </c>
      <c r="Q687" s="6">
        <f>HYPERLINK("https://fin.land.naver.com/articles/2655489733", "매물Link")</f>
        <v/>
      </c>
      <c r="R687" s="6">
        <f>HYPERLINK("https://map.naver.com/p/search/현도면 중삼리 18", "지도Link")</f>
        <v/>
      </c>
      <c r="S687" s="6">
        <f>HYPERLINK("http://www.eum.go.kr/web/ar/lu/luLandDet.jsp?pnu=4311232022100180000&amp;isNoScr=script&amp;mode=search",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61.7</v>
      </c>
      <c r="W687" s="4" t="n">
        <v>4088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360000</v>
      </c>
      <c r="G688" s="4" t="n">
        <v>0</v>
      </c>
      <c r="H688" s="4" t="n">
        <v>6329</v>
      </c>
      <c r="I688" s="4" t="n">
        <v>1915</v>
      </c>
      <c r="J688" s="5" t="n">
        <v>188</v>
      </c>
      <c r="K688" s="4" t="n">
        <v>887</v>
      </c>
      <c r="L688" s="4" t="n">
        <v>268</v>
      </c>
      <c r="M688" s="5" t="n">
        <v>1343.3</v>
      </c>
      <c r="N688" s="3" t="inlineStr">
        <is>
          <t>2</t>
        </is>
      </c>
      <c r="O688" s="3" t="inlineStr">
        <is>
          <t>-</t>
        </is>
      </c>
      <c r="P688" s="3" t="inlineStr">
        <is>
          <t>남청주ic 7분 2차선접 넓은대지</t>
        </is>
      </c>
      <c r="Q688" s="6">
        <f>HYPERLINK("https://fin.land.naver.com/articles/2651500763", "매물Link")</f>
        <v/>
      </c>
      <c r="R688" s="6">
        <f>HYPERLINK("https://map.naver.com/p/search/현도면 중삼리 18", "지도Link")</f>
        <v/>
      </c>
      <c r="S688" s="6">
        <f>HYPERLINK("http://www.eum.go.kr/web/ar/lu/luLandDet.jsp?pnu=4311232022100180000&amp;isNoScr=script&amp;mode=search", "토지이음")</f>
        <v/>
      </c>
      <c r="T688" s="3" t="inlineStr">
        <is>
          <t>학사</t>
        </is>
      </c>
      <c r="U688" s="4" t="n">
        <v>1</v>
      </c>
      <c r="V688" s="5" t="n">
        <v>61.7</v>
      </c>
      <c r="W688" s="4" t="n">
        <v>4088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514500</v>
      </c>
      <c r="G689" s="4" t="n">
        <v>0</v>
      </c>
      <c r="H689" s="4" t="n">
        <v>11336</v>
      </c>
      <c r="I689" s="4" t="n">
        <v>3429</v>
      </c>
      <c r="J689" s="5" t="n">
        <v>150</v>
      </c>
      <c r="K689" s="4" t="n">
        <v>2794</v>
      </c>
      <c r="L689" s="4" t="n">
        <v>845</v>
      </c>
      <c r="M689" s="5" t="n">
        <v>608.9</v>
      </c>
      <c r="N689" s="3" t="inlineStr">
        <is>
          <t>2</t>
        </is>
      </c>
      <c r="O689" s="3" t="inlineStr">
        <is>
          <t>-</t>
        </is>
      </c>
      <c r="P689" s="3" t="inlineStr">
        <is>
          <t>남청주ic7분거리 토지가격으로 책정하여 가치있는 저렴한 공장매매</t>
        </is>
      </c>
      <c r="Q689" s="6">
        <f>HYPERLINK("https://fin.land.naver.com/articles/2654150239", "매물Link")</f>
        <v/>
      </c>
      <c r="R689" s="6">
        <f>HYPERLINK("https://map.naver.com/p/search/현도면 중삼리 19", "지도Link")</f>
        <v/>
      </c>
      <c r="S689" s="6">
        <f>HYPERLINK("http://www.eum.go.kr/web/ar/lu/luLandDet.jsp?pnu=4311232022100190000&amp;isNoScr=script&amp;mode=search",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53.5</v>
      </c>
      <c r="W689" s="4" t="n">
        <v>3904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중삼리 19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183500</v>
      </c>
      <c r="G690" s="4" t="n">
        <v>0</v>
      </c>
      <c r="H690" s="4" t="n">
        <v>4043</v>
      </c>
      <c r="I690" s="4" t="n">
        <v>1223</v>
      </c>
      <c r="J690" s="5" t="n">
        <v>150</v>
      </c>
      <c r="K690" s="4" t="n">
        <v>1539</v>
      </c>
      <c r="L690" s="4" t="n">
        <v>466</v>
      </c>
      <c r="M690" s="5" t="n">
        <v>393.8</v>
      </c>
      <c r="N690" s="3" t="inlineStr">
        <is>
          <t>1</t>
        </is>
      </c>
      <c r="O690" s="3" t="inlineStr">
        <is>
          <t>-</t>
        </is>
      </c>
      <c r="P690" s="3" t="inlineStr">
        <is>
          <t>남청주ic 7분거리 토지가격으로 저렴하게 책정하여 매매</t>
        </is>
      </c>
      <c r="Q690" s="6">
        <f>HYPERLINK("https://fin.land.naver.com/articles/2654177800", "매물Link")</f>
        <v/>
      </c>
      <c r="R690" s="6">
        <f>HYPERLINK("https://map.naver.com/p/search/현도면 중삼리 19", "지도Link")</f>
        <v/>
      </c>
      <c r="S690" s="6">
        <f>HYPERLINK("http://www.eum.go.kr/web/ar/lu/luLandDet.jsp?pnu=4311232022100190000&amp;isNoScr=script&amp;mode=search", "토지이음")</f>
        <v/>
      </c>
      <c r="T690" s="3" t="inlineStr">
        <is>
          <t>더원</t>
        </is>
      </c>
      <c r="U690" s="4" t="n">
        <v>1</v>
      </c>
      <c r="V690" s="5" t="n">
        <v>53.5</v>
      </c>
      <c r="W690" s="4" t="n">
        <v>3904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3500</v>
      </c>
      <c r="G692" s="4" t="n">
        <v>330</v>
      </c>
      <c r="H692" s="4" t="n">
        <v>1240</v>
      </c>
      <c r="I692" s="4" t="n">
        <v>375</v>
      </c>
      <c r="J692" s="5" t="n">
        <v>0.9</v>
      </c>
      <c r="K692" s="4" t="n">
        <v>491</v>
      </c>
      <c r="L692" s="4" t="n">
        <v>149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주차편리하고 2차선접한 공장입니다</t>
        </is>
      </c>
      <c r="Q692" s="6">
        <f>HYPERLINK("https://fin.land.naver.com/articles/2653096286",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복댕이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월세</t>
        </is>
      </c>
      <c r="F693" s="4" t="n">
        <v>7000</v>
      </c>
      <c r="G693" s="4" t="n">
        <v>660</v>
      </c>
      <c r="H693" s="4" t="n">
        <v>2461</v>
      </c>
      <c r="I693" s="4" t="n">
        <v>744</v>
      </c>
      <c r="J693" s="5" t="n">
        <v>0.9</v>
      </c>
      <c r="K693" s="4" t="n">
        <v>979</v>
      </c>
      <c r="L693" s="4" t="n">
        <v>296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현도면 남청주톨게이트 5분거리 2차선 접한 마당넓은 공장 및 창고</t>
        </is>
      </c>
      <c r="Q693" s="6">
        <f>HYPERLINK("https://fin.land.naver.com/articles/2654151842", "매물Link")</f>
        <v/>
      </c>
      <c r="R693" s="6">
        <f>HYPERLINK("https://map.naver.com/p/search/현도면 중삼리 193", "지도Link")</f>
        <v/>
      </c>
      <c r="S693" s="6">
        <f>HYPERLINK("http://www.eum.go.kr/web/ar/lu/luLandDet.jsp?pnu=4311232022101930000&amp;isNoScr=script&amp;mode=search", "토지이음")</f>
        <v/>
      </c>
      <c r="T693" s="3" t="inlineStr">
        <is>
          <t>신탄진다온</t>
        </is>
      </c>
      <c r="U693" s="4" t="n">
        <v>2</v>
      </c>
      <c r="V693" s="5" t="n">
        <v>57.8</v>
      </c>
      <c r="W693" s="4" t="n">
        <v>1240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소로한면</t>
        </is>
      </c>
    </row>
    <row r="694">
      <c r="A694" s="3" t="inlineStr">
        <is>
          <t>현도면 중삼리 193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7000</v>
      </c>
      <c r="G694" s="4" t="n">
        <v>660</v>
      </c>
      <c r="H694" s="4" t="n">
        <v>2461</v>
      </c>
      <c r="I694" s="4" t="n">
        <v>744</v>
      </c>
      <c r="J694" s="5" t="n">
        <v>0.9</v>
      </c>
      <c r="K694" s="4" t="n">
        <v>978</v>
      </c>
      <c r="L694" s="4" t="n">
        <v>296</v>
      </c>
      <c r="M694" s="5" t="n">
        <v>2.2</v>
      </c>
      <c r="N694" s="3" t="inlineStr">
        <is>
          <t>1</t>
        </is>
      </c>
      <c r="O694" s="3" t="inlineStr">
        <is>
          <t>-</t>
        </is>
      </c>
      <c r="P694" s="3" t="inlineStr">
        <is>
          <t>nan</t>
        </is>
      </c>
      <c r="Q694" s="6">
        <f>HYPERLINK("https://fin.land.naver.com/articles/2653911084", "매물Link")</f>
        <v/>
      </c>
      <c r="R694" s="6">
        <f>HYPERLINK("https://map.naver.com/p/search/현도면 중삼리 193", "지도Link")</f>
        <v/>
      </c>
      <c r="S694" s="6">
        <f>HYPERLINK("http://www.eum.go.kr/web/ar/lu/luLandDet.jsp?pnu=4311232022101930000&amp;isNoScr=script&amp;mode=search", "토지이음")</f>
        <v/>
      </c>
      <c r="T694" s="3" t="inlineStr">
        <is>
          <t>KS</t>
        </is>
      </c>
      <c r="U694" s="4" t="n">
        <v>1</v>
      </c>
      <c r="V694" s="5" t="n">
        <v>57.8</v>
      </c>
      <c r="W694" s="4" t="n">
        <v>1240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소로한면</t>
        </is>
      </c>
    </row>
    <row r="695">
      <c r="A695" s="3" t="inlineStr">
        <is>
          <t>현도면 중삼리 193-2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3500</v>
      </c>
      <c r="G695" s="4" t="n">
        <v>330</v>
      </c>
      <c r="H695" s="4" t="n">
        <v>1221</v>
      </c>
      <c r="I695" s="4" t="n">
        <v>369</v>
      </c>
      <c r="J695" s="5" t="n">
        <v>0.9</v>
      </c>
      <c r="K695" s="4" t="n">
        <v>487</v>
      </c>
      <c r="L695" s="4" t="n">
        <v>147</v>
      </c>
      <c r="M695" s="5" t="n">
        <v>2.2</v>
      </c>
      <c r="N695" s="3" t="inlineStr">
        <is>
          <t>1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HYPERLINK("https://fin.land.naver.com/articles/2651887707", "매물Link")</f>
        <v/>
      </c>
      <c r="R695" s="6">
        <f>HYPERLINK("https://map.naver.com/p/search/현도면 중삼리 193-2", "지도Link")</f>
        <v/>
      </c>
      <c r="S695" s="6">
        <f>HYPERLINK("http://www.eum.go.kr/web/ar/lu/luLandDet.jsp?pnu=4311232022101930002&amp;isNoScr=script&amp;mode=search",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50</v>
      </c>
      <c r="W695" s="4" t="n">
        <v>1221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2354</v>
      </c>
      <c r="L696" s="4" t="n">
        <v>712</v>
      </c>
      <c r="M696" s="5" t="n">
        <v>912.9</v>
      </c>
      <c r="N696" s="3" t="inlineStr">
        <is>
          <t>2</t>
        </is>
      </c>
      <c r="O696" s="3" t="inlineStr">
        <is>
          <t>B1</t>
        </is>
      </c>
      <c r="P696" s="3" t="inlineStr">
        <is>
          <t>신축 공장 건물4개동 사무실 별도 민원없는 지역 층고 높고 전력300K</t>
        </is>
      </c>
      <c r="Q696" s="6">
        <f>HYPERLINK("https://fin.land.naver.com/articles/2651935397",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대전토지로무소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650000</v>
      </c>
      <c r="G697" s="4" t="n">
        <v>0</v>
      </c>
      <c r="H697" s="4" t="n">
        <v>5702</v>
      </c>
      <c r="I697" s="4" t="n">
        <v>1725</v>
      </c>
      <c r="J697" s="5" t="n">
        <v>376.8</v>
      </c>
      <c r="K697" s="4" t="n">
        <v>2354</v>
      </c>
      <c r="L697" s="4" t="n">
        <v>712</v>
      </c>
      <c r="M697" s="5" t="n">
        <v>912.9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5분, 주요도시로 이동이 편리한 층고 높은 신축공장</t>
        </is>
      </c>
      <c r="Q697" s="6">
        <f>HYPERLINK("https://fin.land.naver.com/articles/2653576391", "매물Link")</f>
        <v/>
      </c>
      <c r="R697" s="6">
        <f>HYPERLINK("https://map.naver.com/p/search/현도면 중삼리 213", "지도Link")</f>
        <v/>
      </c>
      <c r="S697" s="6">
        <f>HYPERLINK("http://www.eum.go.kr/web/ar/lu/luLandDet.jsp?pnu=4311232022102130000&amp;isNoScr=script&amp;mode=search", "토지이음")</f>
        <v/>
      </c>
      <c r="T697" s="3" t="inlineStr">
        <is>
          <t>(주)미르</t>
        </is>
      </c>
      <c r="U697" s="4" t="n">
        <v>1</v>
      </c>
      <c r="V697" s="5" t="n">
        <v>48.1</v>
      </c>
      <c r="W697" s="4" t="n">
        <v>5702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213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650000</v>
      </c>
      <c r="G698" s="4" t="n">
        <v>0</v>
      </c>
      <c r="H698" s="4" t="n">
        <v>5702</v>
      </c>
      <c r="I698" s="4" t="n">
        <v>1725</v>
      </c>
      <c r="J698" s="5" t="n">
        <v>376.8</v>
      </c>
      <c r="K698" s="4" t="n">
        <v>890</v>
      </c>
      <c r="L698" s="4" t="n">
        <v>269</v>
      </c>
      <c r="M698" s="5" t="n">
        <v>2416.4</v>
      </c>
      <c r="N698" s="3" t="inlineStr">
        <is>
          <t>1</t>
        </is>
      </c>
      <c r="O698" s="3" t="inlineStr">
        <is>
          <t>-</t>
        </is>
      </c>
      <c r="P698" s="3" t="inlineStr">
        <is>
          <t>남청주 현도면에 위치한 신축 공장 매매</t>
        </is>
      </c>
      <c r="Q698" s="6">
        <f>HYPERLINK("https://fin.land.naver.com/articles/2651107587", "매물Link")</f>
        <v/>
      </c>
      <c r="R698" s="6">
        <f>HYPERLINK("https://map.naver.com/p/search/현도면 중삼리 213", "지도Link")</f>
        <v/>
      </c>
      <c r="S698" s="6">
        <f>HYPERLINK("http://www.eum.go.kr/web/ar/lu/luLandDet.jsp?pnu=4311232022102130000&amp;isNoScr=script&amp;mode=search", "토지이음")</f>
        <v/>
      </c>
      <c r="T698" s="3" t="inlineStr">
        <is>
          <t>대지</t>
        </is>
      </c>
      <c r="U698" s="4" t="n">
        <v>1</v>
      </c>
      <c r="V698" s="5" t="n">
        <v>48.1</v>
      </c>
      <c r="W698" s="4" t="n">
        <v>5702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실사진0k 층고7.5m 대형창고 단독사용가능하며 앞 마당 넓음</t>
        </is>
      </c>
      <c r="Q699" s="6">
        <f>HYPERLINK("https://fin.land.naver.com/articles/2655034783",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245-1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2000</v>
      </c>
      <c r="G700" s="4" t="n">
        <v>300</v>
      </c>
      <c r="H700" s="4" t="n">
        <v>1987</v>
      </c>
      <c r="I700" s="4" t="n">
        <v>601</v>
      </c>
      <c r="J700" s="5" t="n">
        <v>0.5</v>
      </c>
      <c r="K700" s="4" t="n">
        <v>424</v>
      </c>
      <c r="L700" s="4" t="n">
        <v>128</v>
      </c>
      <c r="M700" s="5" t="n">
        <v>2.3</v>
      </c>
      <c r="N700" s="3" t="inlineStr">
        <is>
          <t>1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HYPERLINK("https://fin.land.naver.com/articles/2651895291", "매물Link")</f>
        <v/>
      </c>
      <c r="R700" s="6">
        <f>HYPERLINK("https://map.naver.com/p/search/현도면 중삼리 245-1", "지도Link")</f>
        <v/>
      </c>
      <c r="S700" s="6">
        <f>HYPERLINK("http://www.eum.go.kr/web/ar/lu/luLandDet.jsp?pnu=4311232022102450001&amp;isNoScr=script&amp;mode=search",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52.9</v>
      </c>
      <c r="W700" s="4" t="n">
        <v>1860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245-1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월세</t>
        </is>
      </c>
      <c r="F701" s="4" t="n">
        <v>2000</v>
      </c>
      <c r="G701" s="4" t="n">
        <v>300</v>
      </c>
      <c r="H701" s="4" t="n">
        <v>1987</v>
      </c>
      <c r="I701" s="4" t="n">
        <v>601</v>
      </c>
      <c r="J701" s="5" t="n">
        <v>0.5</v>
      </c>
      <c r="K701" s="4" t="n">
        <v>424</v>
      </c>
      <c r="L701" s="4" t="n">
        <v>128</v>
      </c>
      <c r="M701" s="5" t="n">
        <v>2.3</v>
      </c>
      <c r="N701" s="3" t="inlineStr">
        <is>
          <t>1</t>
        </is>
      </c>
      <c r="O701" s="3" t="inlineStr">
        <is>
          <t>-</t>
        </is>
      </c>
      <c r="P701" s="3" t="inlineStr">
        <is>
          <t>건물 129형 대지600형 단독건물 2종근생제조업</t>
        </is>
      </c>
      <c r="Q701" s="6">
        <f>HYPERLINK("https://fin.land.naver.com/articles/2652949751", "매물Link")</f>
        <v/>
      </c>
      <c r="R701" s="6">
        <f>HYPERLINK("https://map.naver.com/p/search/현도면 중삼리 245-1", "지도Link")</f>
        <v/>
      </c>
      <c r="S701" s="6">
        <f>HYPERLINK("http://www.eum.go.kr/web/ar/lu/luLandDet.jsp?pnu=4311232022102450001&amp;isNoScr=script&amp;mode=search", "토지이음")</f>
        <v/>
      </c>
      <c r="T701" s="3" t="inlineStr">
        <is>
          <t>위더스</t>
        </is>
      </c>
      <c r="U701" s="4" t="n">
        <v>1</v>
      </c>
      <c r="V701" s="5" t="n">
        <v>52.9</v>
      </c>
      <c r="W701" s="4" t="n">
        <v>1860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290-1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300000</v>
      </c>
      <c r="G702" s="4" t="n">
        <v>0</v>
      </c>
      <c r="H702" s="4" t="n">
        <v>4298</v>
      </c>
      <c r="I702" s="4" t="n">
        <v>1300</v>
      </c>
      <c r="J702" s="5" t="n">
        <v>230.8</v>
      </c>
      <c r="K702" s="4" t="n">
        <v>1076</v>
      </c>
      <c r="L702" s="4" t="n">
        <v>325</v>
      </c>
      <c r="M702" s="5" t="n">
        <v>923.1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7분, 경부고속도로 접근성 좋은 공장매매</t>
        </is>
      </c>
      <c r="Q702" s="6">
        <f>HYPERLINK("https://fin.land.naver.com/articles/2655824558", "매물Link")</f>
        <v/>
      </c>
      <c r="R702" s="6">
        <f>HYPERLINK("https://map.naver.com/p/search/현도면 중삼리 290-1", "지도Link")</f>
        <v/>
      </c>
      <c r="S702" s="6">
        <f>HYPERLINK("http://www.eum.go.kr/web/ar/lu/luLandDet.jsp?pnu=4311232022102900001&amp;isNoScr=script&amp;mode=search", "토지이음")</f>
        <v/>
      </c>
      <c r="T702" s="3" t="inlineStr">
        <is>
          <t>청담</t>
        </is>
      </c>
      <c r="U702" s="4" t="n">
        <v>2</v>
      </c>
      <c r="V702" s="5" t="n">
        <v>48.9</v>
      </c>
      <c r="W702" s="4" t="n">
        <v>4298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290-1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300000</v>
      </c>
      <c r="G703" s="4" t="n">
        <v>0</v>
      </c>
      <c r="H703" s="4" t="n">
        <v>4563</v>
      </c>
      <c r="I703" s="4" t="n">
        <v>1380</v>
      </c>
      <c r="J703" s="5" t="n">
        <v>217.4</v>
      </c>
      <c r="K703" s="4" t="n">
        <v>986</v>
      </c>
      <c r="L703" s="4" t="n">
        <v>298</v>
      </c>
      <c r="M703" s="5" t="n">
        <v>1006.7</v>
      </c>
      <c r="N703" s="3" t="inlineStr">
        <is>
          <t>1</t>
        </is>
      </c>
      <c r="O703" s="3" t="inlineStr">
        <is>
          <t>-</t>
        </is>
      </c>
      <c r="P703" s="3" t="inlineStr">
        <is>
          <t>남청주ic 7분거리 공장2동 넓은 마당 호이스트설치 층고10.9m</t>
        </is>
      </c>
      <c r="Q703" s="6">
        <f>HYPERLINK("https://fin.land.naver.com/articles/2651782064", "매물Link")</f>
        <v/>
      </c>
      <c r="R703" s="6">
        <f>HYPERLINK("https://map.naver.com/p/search/현도면 중삼리 290-1", "지도Link")</f>
        <v/>
      </c>
      <c r="S703" s="6">
        <f>HYPERLINK("http://www.eum.go.kr/web/ar/lu/luLandDet.jsp?pnu=4311232022102900001&amp;isNoScr=script&amp;mode=search",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48.9</v>
      </c>
      <c r="W703" s="4" t="n">
        <v>4298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공장</t>
        </is>
      </c>
      <c r="E704" s="3" t="inlineStr">
        <is>
          <t>월세</t>
        </is>
      </c>
      <c r="F704" s="4" t="n">
        <v>3000</v>
      </c>
      <c r="G704" s="4" t="n">
        <v>250</v>
      </c>
      <c r="H704" s="4" t="n">
        <v>2527</v>
      </c>
      <c r="I704" s="4" t="n">
        <v>764</v>
      </c>
      <c r="J704" s="5" t="n">
        <v>0.3</v>
      </c>
      <c r="K704" s="4" t="n">
        <v>431</v>
      </c>
      <c r="L704" s="4" t="n">
        <v>130</v>
      </c>
      <c r="M704" s="5" t="n">
        <v>1.9</v>
      </c>
      <c r="N704" s="3" t="inlineStr">
        <is>
          <t>1</t>
        </is>
      </c>
      <c r="O704" s="3" t="inlineStr">
        <is>
          <t>-</t>
        </is>
      </c>
      <c r="P704" s="3" t="inlineStr">
        <is>
          <t>자원순환시설  사무실별도있음</t>
        </is>
      </c>
      <c r="Q704" s="6">
        <f>HYPERLINK("https://fin.land.naver.com/articles/2654911099",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THE행복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297-12</t>
        </is>
      </c>
      <c r="B705" s="3" t="inlineStr">
        <is>
          <t>계획관리지역</t>
        </is>
      </c>
      <c r="C705" s="3" t="inlineStr">
        <is>
          <t>잡종지</t>
        </is>
      </c>
      <c r="D705" s="3" t="inlineStr">
        <is>
          <t>공장</t>
        </is>
      </c>
      <c r="E705" s="3" t="inlineStr">
        <is>
          <t>매매</t>
        </is>
      </c>
      <c r="F705" s="4" t="n">
        <v>151000</v>
      </c>
      <c r="G705" s="4" t="n">
        <v>0</v>
      </c>
      <c r="H705" s="4" t="n">
        <v>2525</v>
      </c>
      <c r="I705" s="4" t="n">
        <v>764</v>
      </c>
      <c r="J705" s="5" t="n">
        <v>197.6</v>
      </c>
      <c r="K705" s="4" t="n">
        <v>382</v>
      </c>
      <c r="L705" s="4" t="n">
        <v>116</v>
      </c>
      <c r="M705" s="5" t="n">
        <v>1301.7</v>
      </c>
      <c r="N705" s="3" t="inlineStr">
        <is>
          <t>1</t>
        </is>
      </c>
      <c r="O705" s="3" t="inlineStr">
        <is>
          <t>-</t>
        </is>
      </c>
      <c r="P705" s="3" t="inlineStr">
        <is>
          <t>자원순환시설  사무실별도있음</t>
        </is>
      </c>
      <c r="Q705" s="6">
        <f>HYPERLINK("https://fin.land.naver.com/articles/2655448587", "매물Link")</f>
        <v/>
      </c>
      <c r="R705" s="6">
        <f>HYPERLINK("https://map.naver.com/p/search/현도면 중삼리 297-12", "지도Link")</f>
        <v/>
      </c>
      <c r="S705" s="6">
        <f>HYPERLINK("http://www.eum.go.kr/web/ar/lu/luLandDet.jsp?pnu=4311232022102970012&amp;isNoScr=script&amp;mode=search", "토지이음")</f>
        <v/>
      </c>
      <c r="T705" s="3" t="inlineStr">
        <is>
          <t>THE행복</t>
        </is>
      </c>
      <c r="U705" s="4" t="n">
        <v>1</v>
      </c>
      <c r="V705" s="5" t="n">
        <v>48.9</v>
      </c>
      <c r="W705" s="4" t="n">
        <v>2167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297-12</t>
        </is>
      </c>
      <c r="B706" s="3" t="inlineStr">
        <is>
          <t>계획관리지역</t>
        </is>
      </c>
      <c r="C706" s="3" t="inlineStr">
        <is>
          <t>잡종지</t>
        </is>
      </c>
      <c r="D706" s="3" t="inlineStr">
        <is>
          <t>기타</t>
        </is>
      </c>
      <c r="E706" s="3" t="inlineStr">
        <is>
          <t>매매</t>
        </is>
      </c>
      <c r="F706" s="4" t="n">
        <v>150000</v>
      </c>
      <c r="G706" s="4" t="n">
        <v>0</v>
      </c>
      <c r="H706" s="4" t="n">
        <v>2167</v>
      </c>
      <c r="I706" s="4" t="n">
        <v>656</v>
      </c>
      <c r="J706" s="5" t="n">
        <v>228.7</v>
      </c>
      <c r="K706" s="4" t="n">
        <v>431</v>
      </c>
      <c r="L706" s="4" t="n">
        <v>130</v>
      </c>
      <c r="M706" s="5" t="n">
        <v>1153.8</v>
      </c>
      <c r="N706" s="3" t="inlineStr">
        <is>
          <t>1</t>
        </is>
      </c>
      <c r="O706" s="3" t="inlineStr">
        <is>
          <t>-</t>
        </is>
      </c>
      <c r="P706" s="3" t="inlineStr">
        <is>
          <t>민원 걱정없는 고물상, 재활용 폐기물처리장 등 자원순환관련시설 매매,임대</t>
        </is>
      </c>
      <c r="Q706" s="6">
        <f>HYPERLINK("https://fin.land.naver.com/articles/2655969273", "매물Link")</f>
        <v/>
      </c>
      <c r="R706" s="6">
        <f>HYPERLINK("https://map.naver.com/p/search/현도면 중삼리 297-12", "지도Link")</f>
        <v/>
      </c>
      <c r="S706" s="6">
        <f>HYPERLINK("http://www.eum.go.kr/web/ar/lu/luLandDet.jsp?pnu=4311232022102970012&amp;isNoScr=script&amp;mode=search", "토지이음")</f>
        <v/>
      </c>
      <c r="T706" s="3" t="inlineStr">
        <is>
          <t>청담</t>
        </is>
      </c>
      <c r="U706" s="4" t="n">
        <v>1</v>
      </c>
      <c r="V706" s="5" t="n">
        <v>48.9</v>
      </c>
      <c r="W706" s="4" t="n">
        <v>2167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297-5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180000</v>
      </c>
      <c r="G707" s="4" t="n">
        <v>0</v>
      </c>
      <c r="H707" s="4" t="n">
        <v>4959</v>
      </c>
      <c r="I707" s="4" t="n">
        <v>1500</v>
      </c>
      <c r="J707" s="5" t="n">
        <v>120</v>
      </c>
      <c r="K707" s="4" t="n">
        <v>745</v>
      </c>
      <c r="L707" s="4" t="n">
        <v>225</v>
      </c>
      <c r="M707" s="5" t="n">
        <v>800</v>
      </c>
      <c r="N707" s="3" t="inlineStr">
        <is>
          <t>1</t>
        </is>
      </c>
      <c r="O707" s="3" t="inlineStr">
        <is>
          <t>-</t>
        </is>
      </c>
      <c r="P707" s="3" t="inlineStr">
        <is>
          <t>사진O,현도면공장매매.크레인설치.고압100kw.진입로문제해결완료</t>
        </is>
      </c>
      <c r="Q707" s="6">
        <f>HYPERLINK("https://fin.land.naver.com/articles/2652109972", "매물Link")</f>
        <v/>
      </c>
      <c r="R707" s="6">
        <f>HYPERLINK("https://map.naver.com/p/search/현도면 중삼리 297-5", "지도Link")</f>
        <v/>
      </c>
      <c r="S707" s="6">
        <f>HYPERLINK("http://www.eum.go.kr/web/ar/lu/luLandDet.jsp?pnu=4311232022102970005&amp;isNoScr=script&amp;mode=search",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4959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298-4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230000</v>
      </c>
      <c r="G708" s="4" t="n">
        <v>0</v>
      </c>
      <c r="H708" s="4" t="n">
        <v>3471</v>
      </c>
      <c r="I708" s="4" t="n">
        <v>1050</v>
      </c>
      <c r="J708" s="5" t="n">
        <v>219</v>
      </c>
      <c r="K708" s="4" t="n">
        <v>1256</v>
      </c>
      <c r="L708" s="4" t="n">
        <v>380</v>
      </c>
      <c r="M708" s="5" t="n">
        <v>605.3</v>
      </c>
      <c r="N708" s="3" t="inlineStr">
        <is>
          <t>1</t>
        </is>
      </c>
      <c r="O708" s="3" t="inlineStr">
        <is>
          <t>-</t>
        </is>
      </c>
      <c r="P708" s="3" t="inlineStr">
        <is>
          <t>1. 남청주IC 4k, 진입도로 6m 2. 공장 380p</t>
        </is>
      </c>
      <c r="Q708" s="6">
        <f>HYPERLINK("https://fin.land.naver.com/articles/2651358267", "매물Link")</f>
        <v/>
      </c>
      <c r="R708" s="6">
        <f>HYPERLINK("https://map.naver.com/p/search/현도면 중삼리 298-4", "지도Link")</f>
        <v/>
      </c>
      <c r="S708" s="6">
        <f>HYPERLINK("http://www.eum.go.kr/web/ar/lu/luLandDet.jsp?pnu=4311232022102980004&amp;isNoScr=script&amp;mode=search", "토지이음")</f>
        <v/>
      </c>
      <c r="T708" s="3" t="inlineStr">
        <is>
          <t>성공</t>
        </is>
      </c>
      <c r="U708" s="4" t="n">
        <v>1</v>
      </c>
      <c r="V708" s="5" t="n">
        <v>46.5</v>
      </c>
      <c r="W708" s="4" t="n">
        <v>2692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322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1300000</v>
      </c>
      <c r="G709" s="4" t="n">
        <v>0</v>
      </c>
      <c r="H709" s="4" t="n">
        <v>17370</v>
      </c>
      <c r="I709" s="4" t="n">
        <v>5254</v>
      </c>
      <c r="J709" s="5" t="n">
        <v>247.4</v>
      </c>
      <c r="K709" s="4" t="n">
        <v>4697</v>
      </c>
      <c r="L709" s="4" t="n">
        <v>1421</v>
      </c>
      <c r="M709" s="5" t="n">
        <v>914.8</v>
      </c>
      <c r="N709" s="3" t="inlineStr">
        <is>
          <t>2</t>
        </is>
      </c>
      <c r="O709" s="3" t="inlineStr">
        <is>
          <t>-</t>
        </is>
      </c>
      <c r="P709" s="3" t="inlineStr">
        <is>
          <t>민원 소지없는 단독 공장입니다</t>
        </is>
      </c>
      <c r="Q709" s="6">
        <f>HYPERLINK("https://fin.land.naver.com/articles/2653059502", "매물Link")</f>
        <v/>
      </c>
      <c r="R709" s="6">
        <f>HYPERLINK("https://map.naver.com/p/search/현도면 중삼리 322", "지도Link")</f>
        <v/>
      </c>
      <c r="S709" s="6">
        <f>HYPERLINK("http://www.eum.go.kr/web/ar/lu/luLandDet.jsp?pnu=4311232022103220000&amp;isNoScr=script&amp;mode=search", "토지이음")</f>
        <v/>
      </c>
      <c r="T709" s="3" t="inlineStr">
        <is>
          <t>복댕이</t>
        </is>
      </c>
      <c r="U709" s="4" t="n">
        <v>1</v>
      </c>
      <c r="V709" s="5" t="n">
        <v>58.8</v>
      </c>
      <c r="W709" s="4" t="n">
        <v>17686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소로한면</t>
        </is>
      </c>
    </row>
    <row r="710">
      <c r="A710" s="3" t="inlineStr">
        <is>
          <t>현도면 중삼리 38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월세</t>
        </is>
      </c>
      <c r="F710" s="4" t="n">
        <v>7000</v>
      </c>
      <c r="G710" s="4" t="n">
        <v>700</v>
      </c>
      <c r="H710" s="4" t="n">
        <v>4168</v>
      </c>
      <c r="I710" s="4" t="n">
        <v>1261</v>
      </c>
      <c r="J710" s="5" t="n">
        <v>0.6</v>
      </c>
      <c r="K710" s="4" t="n">
        <v>1310</v>
      </c>
      <c r="L710" s="4" t="n">
        <v>396</v>
      </c>
      <c r="M710" s="5" t="n">
        <v>1.8</v>
      </c>
      <c r="N710" s="3" t="inlineStr">
        <is>
          <t>1</t>
        </is>
      </c>
      <c r="O710" s="3" t="inlineStr">
        <is>
          <t>-</t>
        </is>
      </c>
      <c r="P710" s="3" t="inlineStr">
        <is>
          <t>사진有 공장 임대</t>
        </is>
      </c>
      <c r="Q710" s="6">
        <f>HYPERLINK("https://fin.land.naver.com/articles/2652988753", "매물Link")</f>
        <v/>
      </c>
      <c r="R710" s="6">
        <f>HYPERLINK("https://map.naver.com/p/search/현도면 중삼리 38", "지도Link")</f>
        <v/>
      </c>
      <c r="S710" s="6">
        <f>HYPERLINK("http://www.eum.go.kr/web/ar/lu/luLandDet.jsp?pnu=4311232022100380000&amp;isNoScr=script&amp;mode=search", "토지이음")</f>
        <v/>
      </c>
      <c r="T710" s="3" t="inlineStr">
        <is>
          <t>월드</t>
        </is>
      </c>
      <c r="U710" s="4" t="n">
        <v>1</v>
      </c>
      <c r="V710" s="5" t="n">
        <v>52.7</v>
      </c>
      <c r="W710" s="4" t="n">
        <v>2107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38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230000</v>
      </c>
      <c r="G711" s="4" t="n">
        <v>0</v>
      </c>
      <c r="H711" s="4" t="n">
        <v>4168</v>
      </c>
      <c r="I711" s="4" t="n">
        <v>1261</v>
      </c>
      <c r="J711" s="5" t="n">
        <v>182.4</v>
      </c>
      <c r="K711" s="4" t="n">
        <v>1310</v>
      </c>
      <c r="L711" s="4" t="n">
        <v>396</v>
      </c>
      <c r="M711" s="5" t="n">
        <v>580.8</v>
      </c>
      <c r="N711" s="3" t="inlineStr">
        <is>
          <t>1</t>
        </is>
      </c>
      <c r="O711" s="3" t="inlineStr">
        <is>
          <t>-</t>
        </is>
      </c>
      <c r="P711" s="3" t="inlineStr">
        <is>
          <t>nan</t>
        </is>
      </c>
      <c r="Q711" s="6">
        <f>HYPERLINK("https://fin.land.naver.com/articles/2651246024", "매물Link")</f>
        <v/>
      </c>
      <c r="R711" s="6">
        <f>HYPERLINK("https://map.naver.com/p/search/현도면 중삼리 38", "지도Link")</f>
        <v/>
      </c>
      <c r="S711" s="6">
        <f>HYPERLINK("http://www.eum.go.kr/web/ar/lu/luLandDet.jsp?pnu=4311232022100380000&amp;isNoScr=script&amp;mode=search", "토지이음")</f>
        <v/>
      </c>
      <c r="T711" s="3" t="inlineStr">
        <is>
          <t>대웅</t>
        </is>
      </c>
      <c r="U711" s="4" t="n">
        <v>1</v>
      </c>
      <c r="V711" s="5" t="n">
        <v>52.7</v>
      </c>
      <c r="W711" s="4" t="n">
        <v>2107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</sheetData>
  <autoFilter ref="A1:AD7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전원주택</t>
        </is>
      </c>
      <c r="F4" s="3" t="inlineStr">
        <is>
          <t>매매</t>
        </is>
      </c>
      <c r="G4" s="4" t="n">
        <v>46000</v>
      </c>
      <c r="H4" s="4" t="n">
        <v>0</v>
      </c>
      <c r="I4" s="4" t="n">
        <v>489</v>
      </c>
      <c r="J4" s="4" t="n">
        <v>148</v>
      </c>
      <c r="K4" s="5" t="n">
        <v>310.8</v>
      </c>
      <c r="L4" s="4" t="n">
        <v>114</v>
      </c>
      <c r="M4" s="4" t="n">
        <v>34</v>
      </c>
      <c r="N4" s="5" t="n">
        <v>1352.9</v>
      </c>
      <c r="O4" s="3" t="inlineStr">
        <is>
          <t>강내면 궁현리 전원주택 매매</t>
        </is>
      </c>
      <c r="P4" s="6">
        <f>HYPERLINK("https://fin.land.naver.com/articles/2655536174",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포레나1번지</t>
        </is>
      </c>
      <c r="T4" s="4" t="n">
        <v>1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95000</v>
      </c>
      <c r="H24" s="4" t="n">
        <v>0</v>
      </c>
      <c r="I24" s="4" t="n">
        <v>548</v>
      </c>
      <c r="J24" s="4" t="n">
        <v>166</v>
      </c>
      <c r="K24" s="5" t="n">
        <v>572.3</v>
      </c>
      <c r="L24" s="4" t="n">
        <v>166</v>
      </c>
      <c r="M24" s="4" t="n">
        <v>50</v>
      </c>
      <c r="N24" s="5" t="n">
        <v>1900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60000</v>
      </c>
      <c r="H25" s="4" t="n">
        <v>0</v>
      </c>
      <c r="I25" s="4" t="n">
        <v>594</v>
      </c>
      <c r="J25" s="4" t="n">
        <v>180</v>
      </c>
      <c r="K25" s="5" t="n">
        <v>333.3</v>
      </c>
      <c r="L25" s="4" t="n">
        <v>97</v>
      </c>
      <c r="M25" s="4" t="n">
        <v>29</v>
      </c>
      <c r="N25" s="5" t="n">
        <v>2069</v>
      </c>
      <c r="O25" s="3" t="inlineStr">
        <is>
          <t>급매 신축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163</v>
      </c>
      <c r="M30" s="4" t="n">
        <v>49</v>
      </c>
      <c r="N30" s="5" t="n">
        <v>1489.8</v>
      </c>
      <c r="O30" s="3" t="inlineStr">
        <is>
          <t>수익률우수.급매,아파트인근,대학인근,공원,인근 ,노후대책.</t>
        </is>
      </c>
      <c r="P30" s="6">
        <f>HYPERLINK("https://fin.land.naver.com/articles/2652054747",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상가주택매매 코너 원룸12개 상가2개 월350만수익</t>
        </is>
      </c>
      <c r="P34" s="6">
        <f>HYPERLINK("https://fin.land.naver.com/articles/2655921638",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명장</t>
        </is>
      </c>
      <c r="T34" s="4" t="n">
        <v>3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충청대앞 최고의 입지. 공실없이 수익률이 좋은곳 부담없이 연락주세요</t>
        </is>
      </c>
      <c r="P35" s="6">
        <f>HYPERLINK("https://fin.land.naver.com/articles/2652127300",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월탄리 38-6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52000</v>
      </c>
      <c r="H37" s="4" t="n">
        <v>0</v>
      </c>
      <c r="I37" s="4" t="n">
        <v>450</v>
      </c>
      <c r="J37" s="4" t="n">
        <v>136</v>
      </c>
      <c r="K37" s="5" t="n">
        <v>382.4</v>
      </c>
      <c r="L37" s="4" t="n">
        <v>357</v>
      </c>
      <c r="M37" s="4" t="n">
        <v>108</v>
      </c>
      <c r="N37" s="5" t="n">
        <v>481.5</v>
      </c>
      <c r="O37" s="3" t="inlineStr">
        <is>
          <t>교원대 오거리 앞 교원대와 부설 고등학교 정문 가까이에 위치한 곳</t>
        </is>
      </c>
      <c r="P37" s="6">
        <f>HYPERLINK("https://fin.land.naver.com/articles/2650897850", "매물Link")</f>
        <v/>
      </c>
      <c r="Q37" s="6">
        <f>HYPERLINK("https://map.naver.com/p/search/강내면 월탄리 38-6", "지도Link")</f>
        <v/>
      </c>
      <c r="R37" s="6">
        <f>HYPERLINK("http://www.eum.go.kr/web/ar/lu/luLandDet.jsp?pnu=4311331030100380006&amp;isNoScr=script&amp;mode=search", "토지이음")</f>
        <v/>
      </c>
      <c r="S37" s="3" t="inlineStr">
        <is>
          <t>태성</t>
        </is>
      </c>
      <c r="T37" s="4" t="n">
        <v>1</v>
      </c>
      <c r="U37" s="5" t="n">
        <v>89.2</v>
      </c>
      <c r="V37" s="4" t="n">
        <v>195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38-7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676</v>
      </c>
      <c r="J38" s="4" t="n">
        <v>204</v>
      </c>
      <c r="K38" s="5" t="n">
        <v>490.2</v>
      </c>
      <c r="L38" s="4" t="n">
        <v>536</v>
      </c>
      <c r="M38" s="4" t="n">
        <v>162</v>
      </c>
      <c r="N38" s="5" t="n">
        <v>617.3</v>
      </c>
      <c r="O38" s="3" t="inlineStr">
        <is>
          <t>교원대학교 정문 건물  공실없음</t>
        </is>
      </c>
      <c r="P38" s="6">
        <f>HYPERLINK("https://fin.land.naver.com/articles/2653078470", "매물Link")</f>
        <v/>
      </c>
      <c r="Q38" s="6">
        <f>HYPERLINK("https://map.naver.com/p/search/강내면 월탄리 38-7", "지도Link")</f>
        <v/>
      </c>
      <c r="R38" s="6">
        <f>HYPERLINK("http://www.eum.go.kr/web/ar/lu/luLandDet.jsp?pnu=4311331030100380007&amp;isNoScr=script&amp;mode=search", "토지이음")</f>
        <v/>
      </c>
      <c r="S38" s="3" t="inlineStr">
        <is>
          <t>현담</t>
        </is>
      </c>
      <c r="T38" s="4" t="n">
        <v>1</v>
      </c>
      <c r="U38" s="5" t="n">
        <v>89.2</v>
      </c>
      <c r="V38" s="4" t="n">
        <v>676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300</v>
      </c>
      <c r="H39" s="4" t="n">
        <v>20</v>
      </c>
      <c r="I39" s="4" t="n">
        <v>21</v>
      </c>
      <c r="J39" s="4" t="n">
        <v>6</v>
      </c>
      <c r="K39" s="5" t="n">
        <v>3.3</v>
      </c>
      <c r="L39" s="4" t="n">
        <v>21</v>
      </c>
      <c r="M39" s="4" t="n">
        <v>6</v>
      </c>
      <c r="N39" s="5" t="n">
        <v>3.3</v>
      </c>
      <c r="O39" s="3" t="inlineStr">
        <is>
          <t>nan</t>
        </is>
      </c>
      <c r="P39" s="6">
        <f>HYPERLINK("https://fin.land.naver.com/articles/2655557987",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NEW베테랑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46-22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86000</v>
      </c>
      <c r="H40" s="4" t="n">
        <v>0</v>
      </c>
      <c r="I40" s="4" t="n">
        <v>453</v>
      </c>
      <c r="J40" s="4" t="n">
        <v>137</v>
      </c>
      <c r="K40" s="5" t="n">
        <v>627.7</v>
      </c>
      <c r="L40" s="4" t="n">
        <v>452</v>
      </c>
      <c r="M40" s="4" t="n">
        <v>137</v>
      </c>
      <c r="N40" s="5" t="n">
        <v>627.7</v>
      </c>
      <c r="O40" s="3" t="inlineStr">
        <is>
          <t>사진有 교원대 인근 4층 다가구 주택 매매. 교원대 도보3분거리</t>
        </is>
      </c>
      <c r="P40" s="6">
        <f>HYPERLINK("https://fin.land.naver.com/articles/2651316287", "매물Link")</f>
        <v/>
      </c>
      <c r="Q40" s="6">
        <f>HYPERLINK("https://map.naver.com/p/search/강내면 월탄리 46-22", "지도Link")</f>
        <v/>
      </c>
      <c r="R40" s="6">
        <f>HYPERLINK("http://www.eum.go.kr/web/ar/lu/luLandDet.jsp?pnu=4311331030100460022&amp;isNoScr=script&amp;mode=search", "토지이음")</f>
        <v/>
      </c>
      <c r="S40" s="3" t="inlineStr">
        <is>
          <t>행복도시</t>
        </is>
      </c>
      <c r="T40" s="4" t="n">
        <v>1</v>
      </c>
      <c r="U40" s="5" t="n">
        <v>87.40000000000001</v>
      </c>
      <c r="V40" s="4" t="n">
        <v>453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49-13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87000</v>
      </c>
      <c r="H41" s="4" t="n">
        <v>0</v>
      </c>
      <c r="I41" s="4" t="n">
        <v>430</v>
      </c>
      <c r="J41" s="4" t="n">
        <v>130</v>
      </c>
      <c r="K41" s="5" t="n">
        <v>669.2</v>
      </c>
      <c r="L41" s="4" t="n">
        <v>415</v>
      </c>
      <c r="M41" s="4" t="n">
        <v>126</v>
      </c>
      <c r="N41" s="5" t="n">
        <v>690.5</v>
      </c>
      <c r="O41" s="3" t="inlineStr">
        <is>
          <t>공실없음 수익율 최고</t>
        </is>
      </c>
      <c r="P41" s="6">
        <f>HYPERLINK("https://fin.land.naver.com/articles/2655182472", "매물Link")</f>
        <v/>
      </c>
      <c r="Q41" s="6">
        <f>HYPERLINK("https://map.naver.com/p/search/강내면 월탄리 49-13", "지도Link")</f>
        <v/>
      </c>
      <c r="R41" s="6">
        <f>HYPERLINK("http://www.eum.go.kr/web/ar/lu/luLandDet.jsp?pnu=4311331030100490013&amp;isNoScr=script&amp;mode=search", "토지이음")</f>
        <v/>
      </c>
      <c r="S41" s="3" t="inlineStr">
        <is>
          <t>불당타임</t>
        </is>
      </c>
      <c r="T41" s="4" t="n">
        <v>1</v>
      </c>
      <c r="U41" s="5" t="n">
        <v>87.40000000000001</v>
      </c>
      <c r="V41" s="4" t="n">
        <v>430</v>
      </c>
      <c r="W41" s="3" t="inlineStr">
        <is>
          <t>지정되지않음</t>
        </is>
      </c>
      <c r="X41" s="3" t="inlineStr">
        <is>
          <t>다세대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세로한면(가)</t>
        </is>
      </c>
    </row>
    <row r="42">
      <c r="A42" s="3" t="inlineStr">
        <is>
          <t>강내면 월탄리 63-2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200</v>
      </c>
      <c r="H42" s="4" t="n">
        <v>26</v>
      </c>
      <c r="I42" s="4" t="n">
        <v>16</v>
      </c>
      <c r="J42" s="4" t="n">
        <v>5</v>
      </c>
      <c r="K42" s="5" t="n">
        <v>5.2</v>
      </c>
      <c r="L42" s="4" t="n">
        <v>16</v>
      </c>
      <c r="M42" s="4" t="n">
        <v>5</v>
      </c>
      <c r="N42" s="5" t="n">
        <v>5.2</v>
      </c>
      <c r="O42" s="3" t="inlineStr">
        <is>
          <t>a한국교원대 초인접 분리형 풀옵 깔끔원룸</t>
        </is>
      </c>
      <c r="P42" s="6">
        <f>HYPERLINK("https://fin.land.naver.com/articles/2652894598", "매물Link")</f>
        <v/>
      </c>
      <c r="Q42" s="6">
        <f>HYPERLINK("https://map.naver.com/p/search/강내면 월탄리 63-2", "지도Link")</f>
        <v/>
      </c>
      <c r="R42" s="6">
        <f>HYPERLINK("http://www.eum.go.kr/web/ar/lu/luLandDet.jsp?pnu=4311331030100630002&amp;isNoScr=script&amp;mode=search",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87.40000000000001</v>
      </c>
      <c r="V42" s="4" t="n">
        <v>336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63-3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일반원룸</t>
        </is>
      </c>
      <c r="F43" s="3" t="inlineStr">
        <is>
          <t>월세</t>
        </is>
      </c>
      <c r="G43" s="4" t="n">
        <v>200</v>
      </c>
      <c r="H43" s="4" t="n">
        <v>20</v>
      </c>
      <c r="I43" s="4" t="n">
        <v>19</v>
      </c>
      <c r="J43" s="4" t="n">
        <v>6</v>
      </c>
      <c r="K43" s="5" t="n">
        <v>3.3</v>
      </c>
      <c r="L43" s="4" t="n">
        <v>19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HYPERLINK("https://fin.land.naver.com/articles/2652595047", "매물Link")</f>
        <v/>
      </c>
      <c r="Q43" s="6">
        <f>HYPERLINK("https://map.naver.com/p/search/강내면 월탄리 63-3", "지도Link")</f>
        <v/>
      </c>
      <c r="R43" s="6">
        <f>HYPERLINK("http://www.eum.go.kr/web/ar/lu/luLandDet.jsp?pnu=4311331030100630003&amp;isNoScr=script&amp;mode=search",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333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620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교원대 옆 위치좋고 공실없고 옥상 방수공사 새로 한 다가구 주택 매매</t>
        </is>
      </c>
      <c r="P45" s="6">
        <f>HYPERLINK("https://fin.land.naver.com/articles/2655577651",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이로운 사무소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69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30</v>
      </c>
      <c r="I46" s="4" t="n">
        <v>22</v>
      </c>
      <c r="J46" s="4" t="n">
        <v>7</v>
      </c>
      <c r="K46" s="5" t="n">
        <v>4.3</v>
      </c>
      <c r="L46" s="4" t="n">
        <v>22</v>
      </c>
      <c r="M46" s="4" t="n">
        <v>7</v>
      </c>
      <c r="N46" s="5" t="n">
        <v>4.3</v>
      </c>
      <c r="O46" s="3" t="inlineStr">
        <is>
          <t>즉시입주가능. 풀옵션.관리비는 별도없음 전기료,가스만개별사용</t>
        </is>
      </c>
      <c r="P46" s="6">
        <f>HYPERLINK("https://fin.land.naver.com/articles/2653894505", "매물Link")</f>
        <v/>
      </c>
      <c r="Q46" s="6">
        <f>HYPERLINK("https://map.naver.com/p/search/강내면 월탄리 69", "지도Link")</f>
        <v/>
      </c>
      <c r="R46" s="6">
        <f>HYPERLINK("http://www.eum.go.kr/web/ar/lu/luLandDet.jsp?pnu=4311331030100690000&amp;isNoScr=script&amp;mode=search", "토지이음")</f>
        <v/>
      </c>
      <c r="S46" s="3" t="inlineStr">
        <is>
          <t>스마트랜드</t>
        </is>
      </c>
      <c r="T46" s="4" t="n">
        <v>1</v>
      </c>
      <c r="U46" s="5" t="n">
        <v>87.40000000000001</v>
      </c>
      <c r="V46" s="4" t="n">
        <v>307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72-4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15300</v>
      </c>
      <c r="H47" s="4" t="n">
        <v>0</v>
      </c>
      <c r="I47" s="4" t="n">
        <v>368</v>
      </c>
      <c r="J47" s="4" t="n">
        <v>111</v>
      </c>
      <c r="K47" s="5" t="n">
        <v>137.8</v>
      </c>
      <c r="L47" s="4" t="n">
        <v>81</v>
      </c>
      <c r="M47" s="4" t="n">
        <v>25</v>
      </c>
      <c r="N47" s="5" t="n">
        <v>612</v>
      </c>
      <c r="O47" s="3" t="inlineStr">
        <is>
          <t>전원생활 가능한 저렴한 단독주택 매물</t>
        </is>
      </c>
      <c r="P47" s="6">
        <f>HYPERLINK("https://fin.land.naver.com/articles/2654578265", "매물Link")</f>
        <v/>
      </c>
      <c r="Q47" s="6">
        <f>HYPERLINK("https://map.naver.com/p/search/강내면 월탄리 72-4", "지도Link")</f>
        <v/>
      </c>
      <c r="R47" s="6">
        <f>HYPERLINK("http://www.eum.go.kr/web/ar/lu/luLandDet.jsp?pnu=4311331030100720004&amp;isNoScr=script&amp;mode=search", "토지이음")</f>
        <v/>
      </c>
      <c r="S47" s="3" t="inlineStr">
        <is>
          <t>제이</t>
        </is>
      </c>
      <c r="T47" s="4" t="n">
        <v>2</v>
      </c>
      <c r="U47" s="5" t="n">
        <v>87.40000000000001</v>
      </c>
      <c r="V47" s="4" t="n">
        <v>368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63000</v>
      </c>
      <c r="H48" s="4" t="n">
        <v>0</v>
      </c>
      <c r="I48" s="4" t="n">
        <v>330</v>
      </c>
      <c r="J48" s="4" t="n">
        <v>100</v>
      </c>
      <c r="K48" s="5" t="n">
        <v>630</v>
      </c>
      <c r="L48" s="4" t="n">
        <v>328</v>
      </c>
      <c r="M48" s="4" t="n">
        <v>99</v>
      </c>
      <c r="N48" s="5" t="n">
        <v>636.4</v>
      </c>
      <c r="O48" s="3" t="inlineStr">
        <is>
          <t>L 투자하기 좋고수익율높은 교원대정문 공실없는 원룸다가구 저렴히 매매</t>
        </is>
      </c>
      <c r="P48" s="6">
        <f>HYPERLINK("https://fin.land.naver.com/articles/2654610305",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아임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교원대와 하이테크밸리근접으로 공실없이 운영중 ,가격협의가능</t>
        </is>
      </c>
      <c r="P49" s="6">
        <f>HYPERLINK("https://fin.land.naver.com/articles/2656160701",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담뜰</t>
        </is>
      </c>
      <c r="T49" s="4" t="n">
        <v>2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단독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공실걱정없는 교원대 다가구 매매</t>
        </is>
      </c>
      <c r="P50" s="6">
        <f>HYPERLINK("https://fin.land.naver.com/articles/2652534533",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노른자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89-1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21</v>
      </c>
      <c r="I52" s="4" t="n">
        <v>22</v>
      </c>
      <c r="J52" s="4" t="n">
        <v>7</v>
      </c>
      <c r="K52" s="5" t="n">
        <v>3</v>
      </c>
      <c r="L52" s="4" t="n">
        <v>22</v>
      </c>
      <c r="M52" s="4" t="n">
        <v>7</v>
      </c>
      <c r="N52" s="5" t="n">
        <v>3</v>
      </c>
      <c r="O52" s="3" t="inlineStr">
        <is>
          <t>a한국교원대 인근 넓고밝은 분리형  풀옵원룸</t>
        </is>
      </c>
      <c r="P52" s="6">
        <f>HYPERLINK("https://fin.land.naver.com/articles/2654884660", "매물Link")</f>
        <v/>
      </c>
      <c r="Q52" s="6">
        <f>HYPERLINK("https://map.naver.com/p/search/강내면 월탄리 89-1", "지도Link")</f>
        <v/>
      </c>
      <c r="R52" s="6">
        <f>HYPERLINK("http://www.eum.go.kr/web/ar/lu/luLandDet.jsp?pnu=4311331030100890001&amp;isNoScr=script&amp;mode=search",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87.40000000000001</v>
      </c>
      <c r="V52" s="4" t="n">
        <v>441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100-12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69000</v>
      </c>
      <c r="H57" s="4" t="n">
        <v>0</v>
      </c>
      <c r="I57" s="4" t="n">
        <v>629</v>
      </c>
      <c r="J57" s="4" t="n">
        <v>190</v>
      </c>
      <c r="K57" s="5" t="n">
        <v>363.2</v>
      </c>
      <c r="L57" s="4" t="n">
        <v>183</v>
      </c>
      <c r="M57" s="4" t="n">
        <v>55</v>
      </c>
      <c r="N57" s="5" t="n">
        <v>1254.5</v>
      </c>
      <c r="O57" s="3" t="inlineStr">
        <is>
          <t>세종 10분,오송역 15분 거리 전원주택매매</t>
        </is>
      </c>
      <c r="P57" s="6">
        <f>HYPERLINK("https://fin.land.naver.com/articles/2651099785", "매물Link")</f>
        <v/>
      </c>
      <c r="Q57" s="6">
        <f>HYPERLINK("https://map.naver.com/p/search/강내면 저산리 100-12", "지도Link")</f>
        <v/>
      </c>
      <c r="R57" s="6">
        <f>HYPERLINK("http://www.eum.go.kr/web/ar/lu/luLandDet.jsp?pnu=4311331023101000012&amp;isNoScr=script&amp;mode=search", "토지이음")</f>
        <v/>
      </c>
      <c r="S57" s="3" t="inlineStr">
        <is>
          <t>새로이</t>
        </is>
      </c>
      <c r="T57" s="4" t="n">
        <v>1</v>
      </c>
      <c r="U57" s="5" t="n">
        <v>43.5</v>
      </c>
      <c r="V57" s="4" t="n">
        <v>629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100-13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70000</v>
      </c>
      <c r="H59" s="4" t="n">
        <v>0</v>
      </c>
      <c r="I59" s="4" t="n">
        <v>538</v>
      </c>
      <c r="J59" s="4" t="n">
        <v>163</v>
      </c>
      <c r="K59" s="5" t="n">
        <v>429.4</v>
      </c>
      <c r="L59" s="4" t="n">
        <v>143</v>
      </c>
      <c r="M59" s="4" t="n">
        <v>43</v>
      </c>
      <c r="N59" s="5" t="n">
        <v>1627.9</v>
      </c>
      <c r="O59" s="3" t="inlineStr">
        <is>
          <t>세종.청주10분거리,고급전원주택,예쁜마당,최상급관리상태,영구조망권</t>
        </is>
      </c>
      <c r="P59" s="6">
        <f>HYPERLINK("https://fin.land.naver.com/articles/2653443042", "매물Link")</f>
        <v/>
      </c>
      <c r="Q59" s="6">
        <f>HYPERLINK("https://map.naver.com/p/search/강내면 저산리 100-13", "지도Link")</f>
        <v/>
      </c>
      <c r="R59" s="6">
        <f>HYPERLINK("http://www.eum.go.kr/web/ar/lu/luLandDet.jsp?pnu=4311331023101000013&amp;isNoScr=script&amp;mode=search", "토지이음")</f>
        <v/>
      </c>
      <c r="S59" s="3" t="inlineStr">
        <is>
          <t>산울탑</t>
        </is>
      </c>
      <c r="T59" s="4" t="n">
        <v>1</v>
      </c>
      <c r="U59" s="5" t="n">
        <v>39.2</v>
      </c>
      <c r="V59" s="4" t="n">
        <v>538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완경사</t>
        </is>
      </c>
      <c r="Z59" s="3" t="inlineStr">
        <is>
          <t>정방형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60000</v>
      </c>
      <c r="H61" s="4" t="n">
        <v>0</v>
      </c>
      <c r="I61" s="4" t="n">
        <v>528</v>
      </c>
      <c r="J61" s="4" t="n">
        <v>160</v>
      </c>
      <c r="K61" s="5" t="n">
        <v>375</v>
      </c>
      <c r="L61" s="4" t="n">
        <v>1312</v>
      </c>
      <c r="M61" s="4" t="n">
        <v>397</v>
      </c>
      <c r="N61" s="5" t="n">
        <v>151.1</v>
      </c>
      <c r="O61" s="3" t="inlineStr">
        <is>
          <t>nan</t>
        </is>
      </c>
      <c r="P61" s="6">
        <f>HYPERLINK("https://fin.land.naver.com/articles/2654889417",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아주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80000</v>
      </c>
      <c r="H62" s="4" t="n">
        <v>0</v>
      </c>
      <c r="I62" s="4" t="n">
        <v>530</v>
      </c>
      <c r="J62" s="4" t="n">
        <v>160</v>
      </c>
      <c r="K62" s="5" t="n">
        <v>500</v>
      </c>
      <c r="L62" s="4" t="n">
        <v>121</v>
      </c>
      <c r="M62" s="4" t="n">
        <v>37</v>
      </c>
      <c r="N62" s="5" t="n">
        <v>2162.2</v>
      </c>
      <c r="O62" s="3" t="inlineStr">
        <is>
          <t>은적산의 좋은 기운을 받는 저산리에 위치한 전원주택 급매</t>
        </is>
      </c>
      <c r="P62" s="6">
        <f>HYPERLINK("https://fin.land.naver.com/articles/2651762692",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대지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559</v>
      </c>
      <c r="J64" s="4" t="n">
        <v>169</v>
      </c>
      <c r="K64" s="5" t="n">
        <v>254.4</v>
      </c>
      <c r="L64" s="4" t="n">
        <v>148</v>
      </c>
      <c r="M64" s="4" t="n">
        <v>45</v>
      </c>
      <c r="N64" s="5" t="n">
        <v>955.6</v>
      </c>
      <c r="O64" s="3" t="inlineStr">
        <is>
          <t>사진 속 탁 트인 잔디 마당과 산 조망을 가진 강내면 저산리 전원주택매매</t>
        </is>
      </c>
      <c r="P64" s="6">
        <f>HYPERLINK("https://fin.land.naver.com/articles/2656162630",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648</v>
      </c>
      <c r="J65" s="4" t="n">
        <v>196</v>
      </c>
      <c r="K65" s="5" t="n">
        <v>219.4</v>
      </c>
      <c r="L65" s="4" t="n">
        <v>148</v>
      </c>
      <c r="M65" s="4" t="n">
        <v>45</v>
      </c>
      <c r="N65" s="5" t="n">
        <v>955.6</v>
      </c>
      <c r="O65" s="3" t="inlineStr">
        <is>
          <t>세종시에서 가까운 전원주택 급매로 저렴하게 드려요</t>
        </is>
      </c>
      <c r="P65" s="6">
        <f>HYPERLINK("https://fin.land.naver.com/articles/2654622303",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토담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3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입주협의 시스템에어컨풀 관리상태최상 마당넓고정원예쁨 가격조정가능</t>
        </is>
      </c>
      <c r="P74" s="6">
        <f>HYPERLINK("https://fin.land.naver.com/articles/2656221405",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고운동리치세종</t>
        </is>
      </c>
      <c r="T74" s="4" t="n">
        <v>4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관리잘된 주택, ACL 주택, 마당과 넓은 테라스, 관리비 적음</t>
        </is>
      </c>
      <c r="P79" s="6">
        <f>HYPERLINK("https://fin.land.naver.com/articles/2651773887",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조율가능 실개천인근 신축 ALC블럭 주택</t>
        </is>
      </c>
      <c r="P80" s="6">
        <f>HYPERLINK("https://fin.land.naver.com/articles/2654022072",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마당 넓은 고급 단독주택매매, 방5개, 욕실4개</t>
        </is>
      </c>
      <c r="P86" s="6">
        <f>HYPERLINK("https://fin.land.naver.com/articles/2652841788",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주인거주 . 가격최대 조율</t>
        </is>
      </c>
      <c r="P89" s="6">
        <f>HYPERLINK("https://fin.land.naver.com/articles/2655694289",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최무연</t>
        </is>
      </c>
      <c r="T89" s="4" t="n">
        <v>2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입주협의가능, 정남향, 학교인근, 방4개</t>
        </is>
      </c>
      <c r="P91" s="6">
        <f>HYPERLINK("https://fin.land.naver.com/articles/2652837282",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조망좋고 위치좋은 정남향 단독주택 방4개 실용적인구조 철콘주택</t>
        </is>
      </c>
      <c r="P95" s="6">
        <f>HYPERLINK("https://fin.land.naver.com/articles/2656449762",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세종스타</t>
        </is>
      </c>
      <c r="T95" s="4" t="n">
        <v>3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태양광, 어린이집, 유치원 인근, 조율가능</t>
        </is>
      </c>
      <c r="P97" s="6">
        <f>HYPERLINK("https://fin.land.naver.com/articles/2652844151",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교통이 편리함,공원이 앞으로 트인조망</t>
        </is>
      </c>
      <c r="P108" s="6">
        <f>HYPERLINK("https://fin.land.naver.com/articles/2655779336",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고운동의 넓은마당과 텃밭 단독주택</t>
        </is>
      </c>
      <c r="P109" s="6">
        <f>HYPERLINK("https://fin.land.naver.com/articles/2655288023",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청명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정원관리가 잘된집.  부엌과 거실이 분리된 주택.</t>
        </is>
      </c>
      <c r="P111" s="6">
        <f>HYPERLINK("https://fin.land.naver.com/articles/2655472404",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최무연</t>
        </is>
      </c>
      <c r="T111" s="4" t="n">
        <v>1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남향으로 관리상태최상 거실높고 방4개 태양광시공도되어있음 가격조정가능</t>
        </is>
      </c>
      <c r="P112" s="6">
        <f>HYPERLINK("https://fin.land.naver.com/articles/2654744653",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고운동리치세종</t>
        </is>
      </c>
      <c r="T112" s="4" t="n">
        <v>2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127600</v>
      </c>
      <c r="H113" s="4" t="n">
        <v>0</v>
      </c>
      <c r="I113" s="4" t="n">
        <v>356</v>
      </c>
      <c r="J113" s="4" t="n">
        <v>108</v>
      </c>
      <c r="K113" s="5" t="n">
        <v>1181.5</v>
      </c>
      <c r="L113" s="4" t="n">
        <v>224</v>
      </c>
      <c r="M113" s="4" t="n">
        <v>68</v>
      </c>
      <c r="N113" s="5" t="n">
        <v>1876.5</v>
      </c>
      <c r="O113" s="3" t="inlineStr">
        <is>
          <t>아르티엠 더블랙 선임대 완료 급매</t>
        </is>
      </c>
      <c r="P113" s="6">
        <f>HYPERLINK("https://fin.land.naver.com/articles/2651673384",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찬스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165000</v>
      </c>
      <c r="H114" s="4" t="n">
        <v>0</v>
      </c>
      <c r="I114" s="4" t="n">
        <v>336</v>
      </c>
      <c r="J114" s="4" t="n">
        <v>102</v>
      </c>
      <c r="K114" s="5" t="n">
        <v>1617.6</v>
      </c>
      <c r="L114" s="4" t="n">
        <v>253</v>
      </c>
      <c r="M114" s="4" t="n">
        <v>77</v>
      </c>
      <c r="N114" s="5" t="n">
        <v>2142.9</v>
      </c>
      <c r="O114" s="3" t="inlineStr">
        <is>
          <t>초품아, 거주 만족도 높은  관리최상  매물, 협의입주</t>
        </is>
      </c>
      <c r="P114" s="6">
        <f>HYPERLINK("https://fin.land.naver.com/articles/2654558667",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2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336</v>
      </c>
      <c r="J115" s="4" t="n">
        <v>102</v>
      </c>
      <c r="K115" s="5" t="n">
        <v>1568.6</v>
      </c>
      <c r="L115" s="4" t="n">
        <v>253</v>
      </c>
      <c r="M115" s="4" t="n">
        <v>77</v>
      </c>
      <c r="N115" s="5" t="n">
        <v>2077.9</v>
      </c>
      <c r="O115" s="3" t="inlineStr">
        <is>
          <t>입지 최고 거주 및 투자추천, 선임대 맞춰짐, 실입주도 협의가능,</t>
        </is>
      </c>
      <c r="P115" s="6">
        <f>HYPERLINK("https://fin.land.naver.com/articles/2654400309",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백프로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협의입주, 시스템에어컨풀, 풀옵션, 조용한동으로 뷰좋은집</t>
        </is>
      </c>
      <c r="P116" s="6">
        <f>HYPERLINK("https://fin.land.naver.com/articles/2654798829",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리브</t>
        </is>
      </c>
      <c r="T116" s="4" t="n">
        <v>2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A타입 타운하우스매매, 입지 굿, 학교 인접, 협의입주</t>
        </is>
      </c>
      <c r="P117" s="6">
        <f>HYPERLINK("https://fin.land.naver.com/articles/2654932877",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명진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C타입 타운하우스, 급매, 입지 굿, 학교 인접, 협의입주</t>
        </is>
      </c>
      <c r="P118" s="6">
        <f>HYPERLINK("https://fin.land.naver.com/articles/2654939086",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명진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입지좋은 타운하우스매매, C타입, 온빛초, 정남향</t>
        </is>
      </c>
      <c r="P119" s="6">
        <f>HYPERLINK("https://fin.land.naver.com/articles/2655132311",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급매,C타입,주인거주로집상태좋음.</t>
        </is>
      </c>
      <c r="P120" s="6">
        <f>HYPERLINK("https://fin.land.naver.com/articles/2653085610",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세종황소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HYPERLINK("https://fin.land.naver.com/articles/2650887284",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404</v>
      </c>
      <c r="J122" s="4" t="n">
        <v>122</v>
      </c>
      <c r="K122" s="5" t="n">
        <v>1311.5</v>
      </c>
      <c r="L122" s="4" t="n">
        <v>253</v>
      </c>
      <c r="M122" s="4" t="n">
        <v>77</v>
      </c>
      <c r="N122" s="5" t="n">
        <v>2077.9</v>
      </c>
      <c r="O122" s="3" t="inlineStr">
        <is>
          <t>프라이빗 코너 호수의 완벽한 유럽풍 라이프</t>
        </is>
      </c>
      <c r="P122" s="6">
        <f>HYPERLINK("https://fin.land.naver.com/articles/2654054184",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입지좋은 타운하우스매매, A타입, 온빛초, 정남향</t>
        </is>
      </c>
      <c r="P123" s="6">
        <f>HYPERLINK("https://fin.land.naver.com/articles/2652815452",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유럽마을 C타입  관리상태좋음  학교 근린생활시설가까운 입지 최고 단지</t>
        </is>
      </c>
      <c r="P124" s="6">
        <f>HYPERLINK("https://fin.land.naver.com/articles/2652588602",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고운힐스테이트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323</v>
      </c>
      <c r="J125" s="4" t="n">
        <v>98</v>
      </c>
      <c r="K125" s="5" t="n">
        <v>1632.7</v>
      </c>
      <c r="L125" s="4" t="n">
        <v>253</v>
      </c>
      <c r="M125" s="4" t="n">
        <v>77</v>
      </c>
      <c r="N125" s="5" t="n">
        <v>2077.9</v>
      </c>
      <c r="O125" s="3" t="inlineStr">
        <is>
          <t>아르티엠 더블랙  초품아 프리미엄과 풀옵션이 만난 완벽한 타운하우스</t>
        </is>
      </c>
      <c r="P125" s="6">
        <f>HYPERLINK("https://fin.land.naver.com/articles/2651672445",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인기C타입 마당넓음 탁트인조망 넓은3층면적</t>
        </is>
      </c>
      <c r="P126" s="6">
        <f>HYPERLINK("https://fin.land.naver.com/articles/2651086449",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158000</v>
      </c>
      <c r="H127" s="4" t="n">
        <v>0</v>
      </c>
      <c r="I127" s="4" t="n">
        <v>418</v>
      </c>
      <c r="J127" s="4" t="n">
        <v>126</v>
      </c>
      <c r="K127" s="5" t="n">
        <v>1254</v>
      </c>
      <c r="L127" s="4" t="n">
        <v>253</v>
      </c>
      <c r="M127" s="4" t="n">
        <v>77</v>
      </c>
      <c r="N127" s="5" t="n">
        <v>2051.9</v>
      </c>
      <c r="O127" s="3" t="inlineStr">
        <is>
          <t>아르티엠 더블랙 C타입 선임대 완료 급매</t>
        </is>
      </c>
      <c r="P127" s="6">
        <f>HYPERLINK("https://fin.land.naver.com/articles/2651673445",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131400</v>
      </c>
      <c r="H128" s="4" t="n">
        <v>0</v>
      </c>
      <c r="I128" s="4" t="n">
        <v>370</v>
      </c>
      <c r="J128" s="4" t="n">
        <v>112</v>
      </c>
      <c r="K128" s="5" t="n">
        <v>1173.2</v>
      </c>
      <c r="L128" s="4" t="n">
        <v>224</v>
      </c>
      <c r="M128" s="4" t="n">
        <v>68</v>
      </c>
      <c r="N128" s="5" t="n">
        <v>1932.4</v>
      </c>
      <c r="O128" s="3" t="inlineStr">
        <is>
          <t>아르티엠 더블랙 선임대 완료 급매</t>
        </is>
      </c>
      <c r="P128" s="6">
        <f>HYPERLINK("https://fin.land.naver.com/articles/2651673423",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192</v>
      </c>
      <c r="J129" s="4" t="n">
        <v>58</v>
      </c>
      <c r="K129" s="5" t="n">
        <v>3.4</v>
      </c>
      <c r="L129" s="4" t="n">
        <v>192</v>
      </c>
      <c r="M129" s="4" t="n">
        <v>58</v>
      </c>
      <c r="N129" s="5" t="n">
        <v>3.4</v>
      </c>
      <c r="O129" s="3" t="inlineStr">
        <is>
          <t>전세도 가능, 입주 협의가능, 입지 좋은 타운하우스</t>
        </is>
      </c>
      <c r="P129" s="6">
        <f>HYPERLINK("https://fin.land.naver.com/articles/2654049382",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192</v>
      </c>
      <c r="J130" s="4" t="n">
        <v>58</v>
      </c>
      <c r="K130" s="5" t="n">
        <v>1379.3</v>
      </c>
      <c r="L130" s="4" t="n">
        <v>192</v>
      </c>
      <c r="M130" s="4" t="n">
        <v>58</v>
      </c>
      <c r="N130" s="5" t="n">
        <v>1379.3</v>
      </c>
      <c r="O130" s="3" t="inlineStr">
        <is>
          <t>고급 타운하우스 전세, 월세도 가능, 협의 입주 가능</t>
        </is>
      </c>
      <c r="P130" s="6">
        <f>HYPERLINK("https://fin.land.naver.com/articles/2654220722",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3.4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전통미 멋스럽고 고즈넉한 한옥 단독 주택 매매. 지하층설계까지 꼼꼼한 집</t>
        </is>
      </c>
      <c r="P133" s="6">
        <f>HYPERLINK("https://fin.land.naver.com/articles/2651959052",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세종올리브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급매가격조율지하 멀티룸과 성큰 테라스를 품은 명품 한옥 매매</t>
        </is>
      </c>
      <c r="P134" s="6">
        <f>HYPERLINK("https://fin.land.naver.com/articles/2655488973",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찬스</t>
        </is>
      </c>
      <c r="T134" s="4" t="n">
        <v>2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한옥매매, 방2개, 화장실2개, 지하 방으로 사용가능</t>
        </is>
      </c>
      <c r="P135" s="6">
        <f>HYPERLINK("https://fin.land.naver.com/articles/2653889844",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급매 추가조율가능 단층 한옥주택 방2개 지하있음</t>
        </is>
      </c>
      <c r="P136" s="6">
        <f>HYPERLINK("https://fin.land.naver.com/articles/2653676438",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조율가능 2층한옥 벙커주차장 지하있음 방3개 욕실3개 홈바</t>
        </is>
      </c>
      <c r="P142" s="6">
        <f>HYPERLINK("https://fin.land.naver.com/articles/2656407754",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79800</v>
      </c>
      <c r="H145" s="4" t="n">
        <v>0</v>
      </c>
      <c r="I145" s="4" t="n">
        <v>75</v>
      </c>
      <c r="J145" s="4" t="n">
        <v>23</v>
      </c>
      <c r="K145" s="5" t="n">
        <v>3469.6</v>
      </c>
      <c r="L145" s="4" t="n">
        <v>73</v>
      </c>
      <c r="M145" s="4" t="n">
        <v>22</v>
      </c>
      <c r="N145" s="5" t="n">
        <v>3627.3</v>
      </c>
      <c r="O145" s="3" t="inlineStr">
        <is>
          <t>급매,입주협의,고운동 단독주택,숲속 힐링 타운하우스</t>
        </is>
      </c>
      <c r="P145" s="6">
        <f>HYPERLINK("https://fin.land.naver.com/articles/2653212973",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세종현대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단독</t>
        </is>
      </c>
      <c r="F146" s="3" t="inlineStr">
        <is>
          <t>매매</t>
        </is>
      </c>
      <c r="G146" s="4" t="n">
        <v>180000</v>
      </c>
      <c r="H146" s="4" t="n">
        <v>0</v>
      </c>
      <c r="I146" s="4" t="n">
        <v>15314</v>
      </c>
      <c r="J146" s="4" t="n">
        <v>4632</v>
      </c>
      <c r="K146" s="5" t="n">
        <v>38.9</v>
      </c>
      <c r="L146" s="4" t="n">
        <v>374</v>
      </c>
      <c r="M146" s="4" t="n">
        <v>113</v>
      </c>
      <c r="N146" s="5" t="n">
        <v>1592.9</v>
      </c>
      <c r="O146" s="3" t="inlineStr">
        <is>
          <t>세대내 엘리베이터 있는 단독세대, 고급 타운하우스, 월세도가능 ,즉시입주</t>
        </is>
      </c>
      <c r="P146" s="6">
        <f>HYPERLINK("https://fin.land.naver.com/articles/2655436145",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힐스테이트으뜸원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110000</v>
      </c>
      <c r="H147" s="4" t="n">
        <v>0</v>
      </c>
      <c r="I147" s="4" t="n">
        <v>15314</v>
      </c>
      <c r="J147" s="4" t="n">
        <v>4632</v>
      </c>
      <c r="K147" s="5" t="n">
        <v>23.7</v>
      </c>
      <c r="L147" s="4" t="n">
        <v>180</v>
      </c>
      <c r="M147" s="4" t="n">
        <v>54</v>
      </c>
      <c r="N147" s="5" t="n">
        <v>2037</v>
      </c>
      <c r="O147" s="3" t="inlineStr">
        <is>
          <t>주인거주로 관리잘된집, 협의입주, 모든 하자 완벽 수리</t>
        </is>
      </c>
      <c r="P147" s="6">
        <f>HYPERLINK("https://fin.land.naver.com/articles/2655850945",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명진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86000</v>
      </c>
      <c r="H148" s="4" t="n">
        <v>0</v>
      </c>
      <c r="I148" s="4" t="n">
        <v>15314</v>
      </c>
      <c r="J148" s="4" t="n">
        <v>4632</v>
      </c>
      <c r="K148" s="5" t="n">
        <v>18.6</v>
      </c>
      <c r="L148" s="4" t="n">
        <v>141</v>
      </c>
      <c r="M148" s="4" t="n">
        <v>43</v>
      </c>
      <c r="N148" s="5" t="n">
        <v>2000</v>
      </c>
      <c r="O148" s="3" t="inlineStr">
        <is>
          <t>협의입주 고운동리치먼드힐타운하우스급매</t>
        </is>
      </c>
      <c r="P148" s="6">
        <f>HYPERLINK("https://fin.land.naver.com/articles/2651811295",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고운동리치세종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추천급매 I 고운동  타운하우스 리치먼드힐1차 귀한매물 I 잔금협의</t>
        </is>
      </c>
      <c r="P150" s="6">
        <f>HYPERLINK("https://fin.land.naver.com/articles/2653180419",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힐스테이트으뜸원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141</v>
      </c>
      <c r="M151" s="4" t="n">
        <v>43</v>
      </c>
      <c r="N151" s="5" t="n">
        <v>1093</v>
      </c>
      <c r="O151" s="3" t="inlineStr">
        <is>
          <t>e루다 융유,리치먼드1차,협의입주,탄력적조율,테라스,마당,복층,다락</t>
        </is>
      </c>
      <c r="P151" s="6">
        <f>HYPERLINK("https://fin.land.naver.com/articles/2654927686",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15314</v>
      </c>
      <c r="J153" s="4" t="n">
        <v>4632</v>
      </c>
      <c r="K153" s="5" t="n">
        <v>10.1</v>
      </c>
      <c r="L153" s="4" t="n">
        <v>181</v>
      </c>
      <c r="M153" s="4" t="n">
        <v>55</v>
      </c>
      <c r="N153" s="5" t="n">
        <v>854.5</v>
      </c>
      <c r="O153" s="3" t="inlineStr">
        <is>
          <t>리치먼드힐1차,타운하우스, 테라스,복층,</t>
        </is>
      </c>
      <c r="P153" s="6">
        <f>HYPERLINK("https://fin.land.naver.com/articles/2654151431",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확실한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급매, 입주협의가능, 고운동 타운하우스</t>
        </is>
      </c>
      <c r="P154" s="6">
        <f>HYPERLINK("https://fin.land.naver.com/articles/2655487478",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194</v>
      </c>
      <c r="J155" s="4" t="n">
        <v>59</v>
      </c>
      <c r="K155" s="5" t="n">
        <v>796.6</v>
      </c>
      <c r="L155" s="4" t="n">
        <v>194</v>
      </c>
      <c r="M155" s="4" t="n">
        <v>59</v>
      </c>
      <c r="N155" s="5" t="n">
        <v>796.6</v>
      </c>
      <c r="O155" s="3" t="inlineStr">
        <is>
          <t>조율가능,급매, 고운동 타운하우스</t>
        </is>
      </c>
      <c r="P155" s="6">
        <f>HYPERLINK("https://fin.land.naver.com/articles/2652790063",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월세</t>
        </is>
      </c>
      <c r="G156" s="4" t="n">
        <v>50000</v>
      </c>
      <c r="H156" s="4" t="n">
        <v>350</v>
      </c>
      <c r="I156" s="4" t="n">
        <v>0</v>
      </c>
      <c r="J156" s="4" t="n">
        <v>0</v>
      </c>
      <c r="K156" s="5" t="n">
        <v>0</v>
      </c>
      <c r="L156" s="4" t="n">
        <v>405</v>
      </c>
      <c r="M156" s="4" t="n">
        <v>123</v>
      </c>
      <c r="N156" s="5" t="n">
        <v>2.8</v>
      </c>
      <c r="O156" s="3" t="inlineStr">
        <is>
          <t>엘리베이터 있는 3층 타운하우스,공기좋고 조용한곳 찿으시는 분께 추천</t>
        </is>
      </c>
      <c r="P156" s="6">
        <f>HYPERLINK("https://fin.land.naver.com/articles/2651126636",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세종대승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48000</v>
      </c>
      <c r="H157" s="4" t="n">
        <v>0</v>
      </c>
      <c r="I157" s="4" t="n">
        <v>141</v>
      </c>
      <c r="J157" s="4" t="n">
        <v>43</v>
      </c>
      <c r="K157" s="5" t="n">
        <v>1116.3</v>
      </c>
      <c r="L157" s="4" t="n">
        <v>141</v>
      </c>
      <c r="M157" s="4" t="n">
        <v>43</v>
      </c>
      <c r="N157" s="5" t="n">
        <v>1116.3</v>
      </c>
      <c r="O157" s="3" t="inlineStr">
        <is>
          <t>세종백화, 에어컨4, 오븐, 인덕션1, 하이라이트1, 금액조정 가능</t>
        </is>
      </c>
      <c r="P157" s="6">
        <f>HYPERLINK("https://fin.land.naver.com/articles/2651471708",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이즈 세종백화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141</v>
      </c>
      <c r="J158" s="4" t="n">
        <v>43</v>
      </c>
      <c r="K158" s="5" t="n">
        <v>1855.8</v>
      </c>
      <c r="L158" s="4" t="n">
        <v>141</v>
      </c>
      <c r="M158" s="4" t="n">
        <v>43</v>
      </c>
      <c r="N158" s="5" t="n">
        <v>1855.8</v>
      </c>
      <c r="O158" s="3" t="inlineStr">
        <is>
          <t>고운동 단독주택 급매, 정원, 다락, 금액조절가능</t>
        </is>
      </c>
      <c r="P158" s="6">
        <f>HYPERLINK("https://fin.land.naver.com/articles/2651472215",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이즈 세종백화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e루다 급매,리치먼드1차,협의입주,적극조율,테라스,마당,복층,다락</t>
        </is>
      </c>
      <c r="P159" s="6">
        <f>HYPERLINK("https://fin.land.naver.com/articles/2655889637",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이루다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단독</t>
        </is>
      </c>
      <c r="F160" s="3" t="inlineStr">
        <is>
          <t>매매</t>
        </is>
      </c>
      <c r="G160" s="4" t="n">
        <v>180000</v>
      </c>
      <c r="H160" s="4" t="n">
        <v>0</v>
      </c>
      <c r="I160" s="4" t="n">
        <v>15314</v>
      </c>
      <c r="J160" s="4" t="n">
        <v>4632</v>
      </c>
      <c r="K160" s="5" t="n">
        <v>38.9</v>
      </c>
      <c r="L160" s="4" t="n">
        <v>374</v>
      </c>
      <c r="M160" s="4" t="n">
        <v>113</v>
      </c>
      <c r="N160" s="5" t="n">
        <v>1592.9</v>
      </c>
      <c r="O160" s="3" t="inlineStr">
        <is>
          <t>고운동타운하우스 엘리베이터0 층별독립 공간과 프라이빗한 라이프스타일</t>
        </is>
      </c>
      <c r="P160" s="6">
        <f>HYPERLINK("https://fin.land.naver.com/articles/2656221826",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고운동리치세종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893-34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193</v>
      </c>
      <c r="J162" s="4" t="n">
        <v>58</v>
      </c>
      <c r="K162" s="5" t="n">
        <v>1293.1</v>
      </c>
      <c r="L162" s="4" t="n">
        <v>121</v>
      </c>
      <c r="M162" s="4" t="n">
        <v>37</v>
      </c>
      <c r="N162" s="5" t="n">
        <v>2027</v>
      </c>
      <c r="O162" s="3" t="inlineStr">
        <is>
          <t>세종시에서 앞으로 찾기 힘든 분양 금액 , 내부구조 굿, 잔금일 협의가능</t>
        </is>
      </c>
      <c r="P162" s="6">
        <f>HYPERLINK("https://fin.land.naver.com/articles/2655815124", "매물Link")</f>
        <v/>
      </c>
      <c r="Q162" s="6">
        <f>HYPERLINK("https://map.naver.com/p/search/고운동 893-34", "지도Link")</f>
        <v/>
      </c>
      <c r="R162" s="6">
        <f>HYPERLINK("http://www.eum.go.kr/web/ar/lu/luLandDet.jsp?pnu=3611011200108930034&amp;isNoScr=script&amp;mode=search", "토지이음")</f>
        <v/>
      </c>
      <c r="S162" s="3" t="inlineStr">
        <is>
          <t>세종올리브</t>
        </is>
      </c>
      <c r="T162" s="4" t="n">
        <v>1</v>
      </c>
      <c r="U162" s="5" t="n">
        <v>335.5</v>
      </c>
      <c r="V162" s="4" t="n">
        <v>775.4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894-41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99000</v>
      </c>
      <c r="H164" s="4" t="n">
        <v>0</v>
      </c>
      <c r="I164" s="4" t="n">
        <v>231</v>
      </c>
      <c r="J164" s="4" t="n">
        <v>70</v>
      </c>
      <c r="K164" s="5" t="n">
        <v>1414.3</v>
      </c>
      <c r="L164" s="4" t="n">
        <v>143</v>
      </c>
      <c r="M164" s="4" t="n">
        <v>43</v>
      </c>
      <c r="N164" s="5" t="n">
        <v>2302.3</v>
      </c>
      <c r="O164" s="3" t="inlineStr">
        <is>
          <t>현재 전세 5억 임차인 거주중, 27년 9월 만기</t>
        </is>
      </c>
      <c r="P164" s="6">
        <f>HYPERLINK("https://fin.land.naver.com/articles/2654710010", "매물Link")</f>
        <v/>
      </c>
      <c r="Q164" s="6">
        <f>HYPERLINK("https://map.naver.com/p/search/고운동 894-41", "지도Link")</f>
        <v/>
      </c>
      <c r="R164" s="6">
        <f>HYPERLINK("http://www.eum.go.kr/web/ar/lu/luLandDet.jsp?pnu=3611011200108940041&amp;isNoScr=script&amp;mode=search", "토지이음")</f>
        <v/>
      </c>
      <c r="S164" s="3" t="inlineStr">
        <is>
          <t>세종무지개</t>
        </is>
      </c>
      <c r="T164" s="4" t="n">
        <v>1</v>
      </c>
      <c r="U164" s="5" t="n">
        <v>319.6</v>
      </c>
      <c r="V164" s="4" t="n">
        <v>463.1</v>
      </c>
      <c r="W164" s="3" t="inlineStr">
        <is>
          <t>지정되지않음</t>
        </is>
      </c>
      <c r="X164" s="3" t="inlineStr">
        <is>
          <t>주거나지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고운동 895-14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145000</v>
      </c>
      <c r="H165" s="4" t="n">
        <v>0</v>
      </c>
      <c r="I165" s="4" t="n">
        <v>256</v>
      </c>
      <c r="J165" s="4" t="n">
        <v>77</v>
      </c>
      <c r="K165" s="5" t="n">
        <v>1883.1</v>
      </c>
      <c r="L165" s="4" t="n">
        <v>188</v>
      </c>
      <c r="M165" s="4" t="n">
        <v>57</v>
      </c>
      <c r="N165" s="5" t="n">
        <v>2543.9</v>
      </c>
      <c r="O165" s="3" t="inlineStr">
        <is>
          <t>고급주택단지,넓은마당과데크,2층테라스,시스템에어컨7대,단지커뮤니티시설</t>
        </is>
      </c>
      <c r="P165" s="6">
        <f>HYPERLINK("https://fin.land.naver.com/articles/2653447420", "매물Link")</f>
        <v/>
      </c>
      <c r="Q165" s="6">
        <f>HYPERLINK("https://map.naver.com/p/search/고운동 895-14", "지도Link")</f>
        <v/>
      </c>
      <c r="R165" s="6">
        <f>HYPERLINK("http://www.eum.go.kr/web/ar/lu/luLandDet.jsp?pnu=3611011200108950014&amp;isNoScr=script&amp;mode=search", "토지이음")</f>
        <v/>
      </c>
      <c r="S165" s="3" t="inlineStr">
        <is>
          <t>산울탑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급매 포스힐내 가장 예쁜정원 전세도가능</t>
        </is>
      </c>
      <c r="P166" s="6">
        <f>HYPERLINK("https://fin.land.naver.com/articles/2652942703",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HYPERLINK("https://fin.land.naver.com/articles/2656413358",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포스힐 단독주택, 에어컨풀, 인테리어완료, 주인거주</t>
        </is>
      </c>
      <c r="P170" s="6">
        <f>HYPERLINK("https://fin.land.naver.com/articles/2654219546",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명진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풀에어컨, 단독주택, 인테리어 완료된 주인거주로 관리잘된집</t>
        </is>
      </c>
      <c r="P171" s="6">
        <f>HYPERLINK("https://fin.land.naver.com/articles/2652843664",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127000</v>
      </c>
      <c r="H172" s="4" t="n">
        <v>0</v>
      </c>
      <c r="I172" s="4" t="n">
        <v>328</v>
      </c>
      <c r="J172" s="4" t="n">
        <v>99</v>
      </c>
      <c r="K172" s="5" t="n">
        <v>1282.8</v>
      </c>
      <c r="L172" s="4" t="n">
        <v>196</v>
      </c>
      <c r="M172" s="4" t="n">
        <v>59</v>
      </c>
      <c r="N172" s="5" t="n">
        <v>2152.5</v>
      </c>
      <c r="O172" s="3" t="inlineStr">
        <is>
          <t>타운하우스매매 가격조정가능 상태좋음 방3개 테라스 다락있음 옵션풀</t>
        </is>
      </c>
      <c r="P172" s="6">
        <f>HYPERLINK("https://fin.land.naver.com/articles/2654272968",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새롬스마트</t>
        </is>
      </c>
      <c r="T172" s="4" t="n">
        <v>2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102000</v>
      </c>
      <c r="H173" s="4" t="n">
        <v>0</v>
      </c>
      <c r="I173" s="4" t="n">
        <v>299</v>
      </c>
      <c r="J173" s="4" t="n">
        <v>90</v>
      </c>
      <c r="K173" s="5" t="n">
        <v>1133.3</v>
      </c>
      <c r="L173" s="4" t="n">
        <v>171</v>
      </c>
      <c r="M173" s="4" t="n">
        <v>52</v>
      </c>
      <c r="N173" s="5" t="n">
        <v>1961.5</v>
      </c>
      <c r="O173" s="3" t="inlineStr">
        <is>
          <t>마이너스 급매 추천매물. 전세끼고매매</t>
        </is>
      </c>
      <c r="P173" s="6">
        <f>HYPERLINK("https://fin.land.naver.com/articles/2654400912",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세종올리브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매매</t>
        </is>
      </c>
      <c r="G176" s="4" t="n">
        <v>165000</v>
      </c>
      <c r="H176" s="4" t="n">
        <v>0</v>
      </c>
      <c r="I176" s="4" t="n">
        <v>378</v>
      </c>
      <c r="J176" s="4" t="n">
        <v>114</v>
      </c>
      <c r="K176" s="5" t="n">
        <v>1447.4</v>
      </c>
      <c r="L176" s="4" t="n">
        <v>220</v>
      </c>
      <c r="M176" s="4" t="n">
        <v>67</v>
      </c>
      <c r="N176" s="5" t="n">
        <v>2462.7</v>
      </c>
      <c r="O176" s="3" t="inlineStr">
        <is>
          <t>인기있는 D타입 67p 급히매매</t>
        </is>
      </c>
      <c r="P176" s="6">
        <f>HYPERLINK("https://fin.land.naver.com/articles/2653287818",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서초만땅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협의입주</t>
        </is>
      </c>
      <c r="P178" s="6">
        <f>HYPERLINK("https://fin.land.naver.com/articles/2655488427",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즉시입주 가능,  인기많은 D타입,  총86p</t>
        </is>
      </c>
      <c r="P179" s="6">
        <f>HYPERLINK("https://fin.land.naver.com/articles/2651190293",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고운동 타운하우스 매매, 조율가능, 풀옵션, 다락서비스면적</t>
        </is>
      </c>
      <c r="P180" s="6">
        <f>HYPERLINK("https://fin.land.naver.com/articles/2654870702",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방3개, 화장실3개, 협의입주가능</t>
        </is>
      </c>
      <c r="P181" s="6">
        <f>HYPERLINK("https://fin.land.naver.com/articles/2655849858",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입지좋은단독주택 벙커주차장유 태양광유 관리상태굿 방3개 입주협의</t>
        </is>
      </c>
      <c r="P184" s="6">
        <f>HYPERLINK("https://fin.land.naver.com/articles/2656077422",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고운동리치세종</t>
        </is>
      </c>
      <c r="T184" s="4" t="n">
        <v>3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전원주택</t>
        </is>
      </c>
      <c r="F185" s="3" t="inlineStr">
        <is>
          <t>월세</t>
        </is>
      </c>
      <c r="G185" s="4" t="n">
        <v>2000</v>
      </c>
      <c r="H185" s="4" t="n">
        <v>45</v>
      </c>
      <c r="I185" s="4" t="n">
        <v>155</v>
      </c>
      <c r="J185" s="4" t="n">
        <v>47</v>
      </c>
      <c r="K185" s="5" t="n">
        <v>1</v>
      </c>
      <c r="L185" s="4" t="n">
        <v>66</v>
      </c>
      <c r="M185" s="4" t="n">
        <v>20</v>
      </c>
      <c r="N185" s="5" t="n">
        <v>2.2</v>
      </c>
      <c r="O185" s="3" t="inlineStr">
        <is>
          <t>귀한 월세 매물입니다. 8월말 입주가능</t>
        </is>
      </c>
      <c r="P185" s="6">
        <f>HYPERLINK("https://fin.land.naver.com/articles/2653962101",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골드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사진ok , 자연경관과 어우러진 세종시 단독주택 매매</t>
        </is>
      </c>
      <c r="P187" s="6">
        <f>HYPERLINK("https://fin.land.naver.com/articles/2655943301",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도안비엔비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도시속 예쁜 단독주택 매매,리모델링 완료,세종 대전 가까운 거리</t>
        </is>
      </c>
      <c r="P188" s="6">
        <f>HYPERLINK("https://fin.land.naver.com/articles/2652734917",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천재원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HYPERLINK("https://fin.land.naver.com/articles/2656265658",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HYPERLINK("https://fin.land.naver.com/articles/2656331592",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546</v>
      </c>
      <c r="J199" s="4" t="n">
        <v>165</v>
      </c>
      <c r="K199" s="5" t="n">
        <v>272.7</v>
      </c>
      <c r="L199" s="4" t="n">
        <v>118</v>
      </c>
      <c r="M199" s="4" t="n">
        <v>36</v>
      </c>
      <c r="N199" s="5" t="n">
        <v>1250</v>
      </c>
      <c r="O199" s="3" t="inlineStr">
        <is>
          <t>세종시근접,즉시입주가능,전원주택과 텃밭있음,</t>
        </is>
      </c>
      <c r="P199" s="6">
        <f>HYPERLINK("https://fin.land.naver.com/articles/2653906997",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담뜰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2년전 전체리모델링, 풀옵션, 방4개, 화장실3개, 창고</t>
        </is>
      </c>
      <c r="P206" s="6">
        <f>HYPERLINK("https://fin.land.naver.com/articles/2653583999",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세종무지개</t>
        </is>
      </c>
      <c r="T206" s="4" t="n">
        <v>2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세종시 15분거리 단독주택 매매</t>
        </is>
      </c>
      <c r="P211" s="6">
        <f>HYPERLINK("https://fin.land.naver.com/articles/2655760728",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세종태양</t>
        </is>
      </c>
      <c r="T211" s="4" t="n">
        <v>2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192-10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67000</v>
      </c>
      <c r="H212" s="4" t="n">
        <v>0</v>
      </c>
      <c r="I212" s="4" t="n">
        <v>958</v>
      </c>
      <c r="J212" s="4" t="n">
        <v>290</v>
      </c>
      <c r="K212" s="5" t="n">
        <v>231</v>
      </c>
      <c r="L212" s="4" t="n">
        <v>123</v>
      </c>
      <c r="M212" s="4" t="n">
        <v>37</v>
      </c>
      <c r="N212" s="5" t="n">
        <v>1810.8</v>
      </c>
      <c r="O212" s="3" t="inlineStr">
        <is>
          <t>생명나무, 전망좋은 도남리 신축주택 , 다락 층고 높아요, 집보기O</t>
        </is>
      </c>
      <c r="P212" s="6">
        <f>HYPERLINK("https://fin.land.naver.com/articles/2655971986", "매물Link")</f>
        <v/>
      </c>
      <c r="Q212" s="6">
        <f>HYPERLINK("https://map.naver.com/p/search/금남면 도남리 192-10", "지도Link")</f>
        <v/>
      </c>
      <c r="R212" s="6">
        <f>HYPERLINK("http://www.eum.go.kr/web/ar/lu/luLandDet.jsp?pnu=3611034046101920010&amp;isNoScr=script&amp;mode=search",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95.2</v>
      </c>
      <c r="V212" s="4" t="n">
        <v>958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빌라</t>
        </is>
      </c>
      <c r="F213" s="3" t="inlineStr">
        <is>
          <t>매매</t>
        </is>
      </c>
      <c r="G213" s="4" t="n">
        <v>21000</v>
      </c>
      <c r="H213" s="4" t="n">
        <v>0</v>
      </c>
      <c r="I213" s="4" t="n">
        <v>98</v>
      </c>
      <c r="J213" s="4" t="n">
        <v>30</v>
      </c>
      <c r="K213" s="5" t="n">
        <v>700</v>
      </c>
      <c r="L213" s="4" t="n">
        <v>54</v>
      </c>
      <c r="M213" s="4" t="n">
        <v>16</v>
      </c>
      <c r="N213" s="5" t="n">
        <v>1312.5</v>
      </c>
      <c r="O213" s="3" t="inlineStr">
        <is>
          <t>세종시 금남면도남리 다세대주택 급매매 방3 금강수목원앞 엘리베이터·주차장</t>
        </is>
      </c>
      <c r="P213" s="6">
        <f>HYPERLINK("https://fin.land.naver.com/articles/2650869054",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세종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97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23000</v>
      </c>
      <c r="H214" s="4" t="n">
        <v>0</v>
      </c>
      <c r="I214" s="4" t="n">
        <v>98</v>
      </c>
      <c r="J214" s="4" t="n">
        <v>30</v>
      </c>
      <c r="K214" s="5" t="n">
        <v>766.7</v>
      </c>
      <c r="L214" s="4" t="n">
        <v>54</v>
      </c>
      <c r="M214" s="4" t="n">
        <v>16</v>
      </c>
      <c r="N214" s="5" t="n">
        <v>1437.5</v>
      </c>
      <c r="O214" s="3" t="inlineStr">
        <is>
          <t>복층구조로 협의 입주가능 단독세대로 편하게 사용가능 합니다</t>
        </is>
      </c>
      <c r="P214" s="6">
        <f>HYPERLINK("https://fin.land.naver.com/articles/2651214190", "매물Link")</f>
        <v/>
      </c>
      <c r="Q214" s="6">
        <f>HYPERLINK("https://map.naver.com/p/search/금남면 도남리 97", "지도Link")</f>
        <v/>
      </c>
      <c r="R214" s="6">
        <f>HYPERLINK("http://www.eum.go.kr/web/ar/lu/luLandDet.jsp?pnu=3611034046100970000&amp;isNoScr=script&amp;mode=search", "토지이음")</f>
        <v/>
      </c>
      <c r="S214" s="3" t="inlineStr">
        <is>
          <t>은성</t>
        </is>
      </c>
      <c r="T214" s="4" t="n">
        <v>1</v>
      </c>
      <c r="U214" s="5" t="n">
        <v>134.8</v>
      </c>
      <c r="V214" s="4" t="n">
        <v>528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두만리 102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40000</v>
      </c>
      <c r="H215" s="4" t="n">
        <v>0</v>
      </c>
      <c r="I215" s="4" t="n">
        <v>340</v>
      </c>
      <c r="J215" s="4" t="n">
        <v>103</v>
      </c>
      <c r="K215" s="5" t="n">
        <v>388.3</v>
      </c>
      <c r="L215" s="4" t="n">
        <v>91</v>
      </c>
      <c r="M215" s="4" t="n">
        <v>28</v>
      </c>
      <c r="N215" s="5" t="n">
        <v>1428.6</v>
      </c>
      <c r="O215" s="3" t="inlineStr">
        <is>
          <t>올수리된 단독주택, 전세안고매매,가격조절가능</t>
        </is>
      </c>
      <c r="P215" s="6">
        <f>HYPERLINK("https://fin.land.naver.com/articles/2651413776", "매물Link")</f>
        <v/>
      </c>
      <c r="Q215" s="6">
        <f>HYPERLINK("https://map.naver.com/p/search/금남면 두만리 102", "지도Link")</f>
        <v/>
      </c>
      <c r="R215" s="6">
        <f>HYPERLINK("http://www.eum.go.kr/web/ar/lu/luLandDet.jsp?pnu=3611034024101020000&amp;isNoScr=script&amp;mode=search", "토지이음")</f>
        <v/>
      </c>
      <c r="S215" s="3" t="inlineStr">
        <is>
          <t>두진</t>
        </is>
      </c>
      <c r="T215" s="4" t="n">
        <v>1</v>
      </c>
      <c r="U215" s="5" t="n">
        <v>165.3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대전 세종 10분 거리 역세권형 전원주택, 넓은 텃밭, 넓은 주거 공</t>
        </is>
      </c>
      <c r="P216" s="6">
        <f>HYPERLINK("https://fin.land.naver.com/articles/2655996606",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금남면 두만리 단독주택,텃밭,큰방2,넓은거실,화장실2,주차가능</t>
        </is>
      </c>
      <c r="P217" s="6">
        <f>HYPERLINK("https://fin.land.naver.com/articles/2653950272",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대아마을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급매,제1종일반주거지역,평당293만원</t>
        </is>
      </c>
      <c r="P218" s="6">
        <f>HYPERLINK("https://fin.land.naver.com/articles/2650848725",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찬스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남동향으로 지대가 높고 앞에는 공원부지라 조망이 탁 트인 전원주택입니다</t>
        </is>
      </c>
      <c r="P220" s="6">
        <f>HYPERLINK("https://fin.land.naver.com/articles/2655558713",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스마일세종</t>
        </is>
      </c>
      <c r="T220" s="4" t="n">
        <v>3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56</v>
      </c>
      <c r="M221" s="4" t="n">
        <v>17</v>
      </c>
      <c r="N221" s="5" t="n">
        <v>5470.6</v>
      </c>
      <c r="O221" s="3" t="inlineStr">
        <is>
          <t>리모델링, 지대높음, 개발호재 투자 추천, 주차장부지있음</t>
        </is>
      </c>
      <c r="P221" s="6">
        <f>HYPERLINK("https://fin.land.naver.com/articles/2656270805",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세종무지개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대전세종 중간. 넓은 대지와 흑벽돌로 리모델링한 주택.</t>
        </is>
      </c>
      <c r="P222" s="6">
        <f>HYPERLINK("https://fin.land.naver.com/articles/2651848762",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세종소담114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386-1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70000</v>
      </c>
      <c r="H223" s="4" t="n">
        <v>0</v>
      </c>
      <c r="I223" s="4" t="n">
        <v>783</v>
      </c>
      <c r="J223" s="4" t="n">
        <v>237</v>
      </c>
      <c r="K223" s="5" t="n">
        <v>295.4</v>
      </c>
      <c r="L223" s="4" t="n">
        <v>158</v>
      </c>
      <c r="M223" s="4" t="n">
        <v>48</v>
      </c>
      <c r="N223" s="5" t="n">
        <v>1458.3</v>
      </c>
      <c r="O223" s="3" t="inlineStr">
        <is>
          <t>주거및투자용</t>
        </is>
      </c>
      <c r="P223" s="6">
        <f>HYPERLINK("https://fin.land.naver.com/articles/2653864470", "매물Link")</f>
        <v/>
      </c>
      <c r="Q223" s="6">
        <f>HYPERLINK("https://map.naver.com/p/search/금남면 두만리 386-1", "지도Link")</f>
        <v/>
      </c>
      <c r="R223" s="6">
        <f>HYPERLINK("http://www.eum.go.kr/web/ar/lu/luLandDet.jsp?pnu=3611034024103860001&amp;isNoScr=script&amp;mode=search", "토지이음")</f>
        <v/>
      </c>
      <c r="S223" s="3" t="inlineStr">
        <is>
          <t>대성지구</t>
        </is>
      </c>
      <c r="T223" s="4" t="n">
        <v>1</v>
      </c>
      <c r="U223" s="5" t="n">
        <v>147.9</v>
      </c>
      <c r="V223" s="4" t="n">
        <v>783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330</v>
      </c>
      <c r="J225" s="4" t="n">
        <v>100</v>
      </c>
      <c r="K225" s="5" t="n">
        <v>500</v>
      </c>
      <c r="L225" s="4" t="n">
        <v>99</v>
      </c>
      <c r="M225" s="4" t="n">
        <v>30</v>
      </c>
      <c r="N225" s="5" t="n">
        <v>1666.7</v>
      </c>
      <c r="O225" s="3" t="inlineStr">
        <is>
          <t>양지바른 전원 주택</t>
        </is>
      </c>
      <c r="P225" s="6">
        <f>HYPERLINK("https://fin.land.naver.com/articles/2651316602",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218-8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382</v>
      </c>
      <c r="J226" s="4" t="n">
        <v>116</v>
      </c>
      <c r="K226" s="5" t="n">
        <v>387.9</v>
      </c>
      <c r="L226" s="4" t="n">
        <v>99</v>
      </c>
      <c r="M226" s="4" t="n">
        <v>30</v>
      </c>
      <c r="N226" s="5" t="n">
        <v>1500</v>
      </c>
      <c r="O226" s="3" t="inlineStr">
        <is>
          <t>세종시 외각 전원 주택</t>
        </is>
      </c>
      <c r="P226" s="6">
        <f>HYPERLINK("https://fin.land.naver.com/articles/2651316949", "매물Link")</f>
        <v/>
      </c>
      <c r="Q226" s="6">
        <f>HYPERLINK("https://map.naver.com/p/search/금남면 박산리 218-8", "지도Link")</f>
        <v/>
      </c>
      <c r="R226" s="6">
        <f>HYPERLINK("http://www.eum.go.kr/web/ar/lu/luLandDet.jsp?pnu=3611034033102180008&amp;isNoScr=script&amp;mode=search",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171.8</v>
      </c>
      <c r="V226" s="4" t="n">
        <v>382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발산리 88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87200</v>
      </c>
      <c r="H227" s="4" t="n">
        <v>0</v>
      </c>
      <c r="I227" s="4" t="n">
        <v>320</v>
      </c>
      <c r="J227" s="4" t="n">
        <v>97</v>
      </c>
      <c r="K227" s="5" t="n">
        <v>899</v>
      </c>
      <c r="L227" s="4" t="n">
        <v>164</v>
      </c>
      <c r="M227" s="4" t="n">
        <v>50</v>
      </c>
      <c r="N227" s="5" t="n">
        <v>1744</v>
      </c>
      <c r="O227" s="3" t="inlineStr">
        <is>
          <t>금남면 단독주택 매매, 총50p, 조경가치2천만원</t>
        </is>
      </c>
      <c r="P227" s="6">
        <f>HYPERLINK("https://fin.land.naver.com/articles/2656273313", "매물Link")</f>
        <v/>
      </c>
      <c r="Q227" s="6">
        <f>HYPERLINK("https://map.naver.com/p/search/금남면 발산리 88", "지도Link")</f>
        <v/>
      </c>
      <c r="R227" s="6">
        <f>HYPERLINK("http://www.eum.go.kr/web/ar/lu/luLandDet.jsp?pnu=3611034022100880000&amp;isNoScr=script&amp;mode=search", "토지이음")</f>
        <v/>
      </c>
      <c r="S227" s="3" t="inlineStr">
        <is>
          <t>세종무지개</t>
        </is>
      </c>
      <c r="T227" s="4" t="n">
        <v>1</v>
      </c>
      <c r="U227" s="5" t="n">
        <v>260</v>
      </c>
      <c r="V227" s="4" t="n">
        <v>320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158-6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45000</v>
      </c>
      <c r="H228" s="4" t="n">
        <v>0</v>
      </c>
      <c r="I228" s="4" t="n">
        <v>431</v>
      </c>
      <c r="J228" s="4" t="n">
        <v>130</v>
      </c>
      <c r="K228" s="5" t="n">
        <v>346.2</v>
      </c>
      <c r="L228" s="4" t="n">
        <v>87</v>
      </c>
      <c r="M228" s="4" t="n">
        <v>26</v>
      </c>
      <c r="N228" s="5" t="n">
        <v>1730.8</v>
      </c>
      <c r="O228" s="3" t="inlineStr">
        <is>
          <t>밀다원 근처 경치 좋은 단독주택지</t>
        </is>
      </c>
      <c r="P228" s="6">
        <f>HYPERLINK("https://fin.land.naver.com/articles/2652373368", "매물Link")</f>
        <v/>
      </c>
      <c r="Q228" s="6">
        <f>HYPERLINK("https://map.naver.com/p/search/금남면 봉암리 158-6", "지도Link")</f>
        <v/>
      </c>
      <c r="R228" s="6">
        <f>HYPERLINK("http://www.eum.go.kr/web/ar/lu/luLandDet.jsp?pnu=3611034043101580006&amp;isNoScr=script&amp;mode=search", "토지이음")</f>
        <v/>
      </c>
      <c r="S228" s="3" t="inlineStr">
        <is>
          <t>강아지풀</t>
        </is>
      </c>
      <c r="T228" s="4" t="n">
        <v>1</v>
      </c>
      <c r="U228" s="5" t="n">
        <v>137.9</v>
      </c>
      <c r="V228" s="4" t="n">
        <v>431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205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40000</v>
      </c>
      <c r="H229" s="4" t="n">
        <v>0</v>
      </c>
      <c r="I229" s="4" t="n">
        <v>380</v>
      </c>
      <c r="J229" s="4" t="n">
        <v>115</v>
      </c>
      <c r="K229" s="5" t="n">
        <v>347.8</v>
      </c>
      <c r="L229" s="4" t="n">
        <v>73</v>
      </c>
      <c r="M229" s="4" t="n">
        <v>22</v>
      </c>
      <c r="N229" s="5" t="n">
        <v>1818.2</v>
      </c>
      <c r="O229" s="3" t="inlineStr">
        <is>
          <t>행복도시인접한  경치 좋은 전원주택 , 대평동에서 차량10분</t>
        </is>
      </c>
      <c r="P229" s="6">
        <f>HYPERLINK("https://fin.land.naver.com/articles/2651161358", "매물Link")</f>
        <v/>
      </c>
      <c r="Q229" s="6">
        <f>HYPERLINK("https://map.naver.com/p/search/금남면 봉암리 205", "지도Link")</f>
        <v/>
      </c>
      <c r="R229" s="6">
        <f>HYPERLINK("http://www.eum.go.kr/web/ar/lu/luLandDet.jsp?pnu=3611034043102050000&amp;isNoScr=script&amp;mode=search",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121.6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HYPERLINK("https://fin.land.naver.com/articles/2650916298",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부용리 522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393</v>
      </c>
      <c r="J231" s="4" t="n">
        <v>119</v>
      </c>
      <c r="K231" s="5" t="n">
        <v>420.2</v>
      </c>
      <c r="L231" s="4" t="n">
        <v>72</v>
      </c>
      <c r="M231" s="4" t="n">
        <v>22</v>
      </c>
      <c r="N231" s="5" t="n">
        <v>2272.7</v>
      </c>
      <c r="O231" s="3" t="inlineStr">
        <is>
          <t>단독주택 ,즉시입주,태양광설치</t>
        </is>
      </c>
      <c r="P231" s="6">
        <f>HYPERLINK("https://fin.land.naver.com/articles/2653217220", "매물Link")</f>
        <v/>
      </c>
      <c r="Q231" s="6">
        <f>HYPERLINK("https://map.naver.com/p/search/금남면 부용리 522", "지도Link")</f>
        <v/>
      </c>
      <c r="R231" s="6">
        <f>HYPERLINK("http://www.eum.go.kr/web/ar/lu/luLandDet.jsp?pnu=3611034035105220000&amp;isNoScr=script&amp;mode=search", "토지이음")</f>
        <v/>
      </c>
      <c r="S231" s="3" t="inlineStr">
        <is>
          <t>두진</t>
        </is>
      </c>
      <c r="T231" s="4" t="n">
        <v>1</v>
      </c>
      <c r="U231" s="5" t="n">
        <v>223</v>
      </c>
      <c r="V231" s="4" t="n">
        <v>393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3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491</v>
      </c>
      <c r="J233" s="4" t="n">
        <v>149</v>
      </c>
      <c r="K233" s="5" t="n">
        <v>201.3</v>
      </c>
      <c r="L233" s="4" t="n">
        <v>113</v>
      </c>
      <c r="M233" s="4" t="n">
        <v>34</v>
      </c>
      <c r="N233" s="5" t="n">
        <v>882.4</v>
      </c>
      <c r="O233" s="3" t="inlineStr">
        <is>
          <t>세종시 생활권 누리면서 넓은 토지와 조용한 전원주택 확보</t>
        </is>
      </c>
      <c r="P233" s="6">
        <f>HYPERLINK("https://fin.land.naver.com/articles/2656118222",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아임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성덕리 465-9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76000</v>
      </c>
      <c r="H234" s="4" t="n">
        <v>0</v>
      </c>
      <c r="I234" s="4" t="n">
        <v>757</v>
      </c>
      <c r="J234" s="4" t="n">
        <v>229</v>
      </c>
      <c r="K234" s="5" t="n">
        <v>331.9</v>
      </c>
      <c r="L234" s="4" t="n">
        <v>119</v>
      </c>
      <c r="M234" s="4" t="n">
        <v>36</v>
      </c>
      <c r="N234" s="5" t="n">
        <v>2111.1</v>
      </c>
      <c r="O234" s="3" t="inlineStr">
        <is>
          <t>신축단독주택, 시스템에어컨5대, 민박.펜션도 추천</t>
        </is>
      </c>
      <c r="P234" s="6">
        <f>HYPERLINK("https://fin.land.naver.com/articles/2655488352", "매물Link")</f>
        <v/>
      </c>
      <c r="Q234" s="6">
        <f>HYPERLINK("https://map.naver.com/p/search/금남면 성덕리 465-9", "지도Link")</f>
        <v/>
      </c>
      <c r="R234" s="6">
        <f>HYPERLINK("http://www.eum.go.kr/web/ar/lu/luLandDet.jsp?pnu=3611034040104650009&amp;isNoScr=script&amp;mode=search", "토지이음")</f>
        <v/>
      </c>
      <c r="S234" s="3" t="inlineStr">
        <is>
          <t>세종무지개</t>
        </is>
      </c>
      <c r="T234" s="4" t="n">
        <v>1</v>
      </c>
      <c r="U234" s="5" t="n">
        <v>111.6</v>
      </c>
      <c r="V234" s="4" t="n">
        <v>682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신촌리 100-4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50000</v>
      </c>
      <c r="H235" s="4" t="n">
        <v>0</v>
      </c>
      <c r="I235" s="4" t="n">
        <v>242</v>
      </c>
      <c r="J235" s="4" t="n">
        <v>73</v>
      </c>
      <c r="K235" s="5" t="n">
        <v>684.9</v>
      </c>
      <c r="L235" s="4" t="n">
        <v>98</v>
      </c>
      <c r="M235" s="4" t="n">
        <v>30</v>
      </c>
      <c r="N235" s="5" t="n">
        <v>1666.7</v>
      </c>
      <c r="O235" s="3" t="inlineStr">
        <is>
          <t>행복도시 인접, 단층 경량철골조, 단독주택, 근린생활시설 2개동</t>
        </is>
      </c>
      <c r="P235" s="6">
        <f>HYPERLINK("https://fin.land.naver.com/articles/2651162321", "매물Link")</f>
        <v/>
      </c>
      <c r="Q235" s="6">
        <f>HYPERLINK("https://map.naver.com/p/search/금남면 신촌리 100-4", "지도Link")</f>
        <v/>
      </c>
      <c r="R235" s="6">
        <f>HYPERLINK("http://www.eum.go.kr/web/ar/lu/luLandDet.jsp?pnu=3611034038101000004&amp;isNoScr=script&amp;mode=search",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292.7</v>
      </c>
      <c r="V235" s="4" t="n">
        <v>325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신촌리 106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60000</v>
      </c>
      <c r="H236" s="4" t="n">
        <v>0</v>
      </c>
      <c r="I236" s="4" t="n">
        <v>242</v>
      </c>
      <c r="J236" s="4" t="n">
        <v>73</v>
      </c>
      <c r="K236" s="5" t="n">
        <v>821.9</v>
      </c>
      <c r="L236" s="4" t="n">
        <v>109</v>
      </c>
      <c r="M236" s="4" t="n">
        <v>33</v>
      </c>
      <c r="N236" s="5" t="n">
        <v>1818.2</v>
      </c>
      <c r="O236" s="3" t="inlineStr">
        <is>
          <t>행복도시와 차량으로 10분 내외의 거리에 위치, 투자하기 좋은 위치</t>
        </is>
      </c>
      <c r="P236" s="6">
        <f>HYPERLINK("https://fin.land.naver.com/articles/2651420916", "매물Link")</f>
        <v/>
      </c>
      <c r="Q236" s="6">
        <f>HYPERLINK("https://map.naver.com/p/search/금남면 신촌리 106", "지도Link")</f>
        <v/>
      </c>
      <c r="R236" s="6">
        <f>HYPERLINK("http://www.eum.go.kr/web/ar/lu/luLandDet.jsp?pnu=3611034038101060000&amp;isNoScr=script&amp;mode=search", "토지이음")</f>
        <v/>
      </c>
      <c r="S236" s="3" t="inlineStr">
        <is>
          <t>해들일번지</t>
        </is>
      </c>
      <c r="T236" s="4" t="n">
        <v>1</v>
      </c>
      <c r="U236" s="5" t="n">
        <v>346.4</v>
      </c>
      <c r="V236" s="4" t="n">
        <v>242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영곡리 106-19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43000</v>
      </c>
      <c r="H238" s="4" t="n">
        <v>0</v>
      </c>
      <c r="I238" s="4" t="n">
        <v>783</v>
      </c>
      <c r="J238" s="4" t="n">
        <v>237</v>
      </c>
      <c r="K238" s="5" t="n">
        <v>181.4</v>
      </c>
      <c r="L238" s="4" t="n">
        <v>162</v>
      </c>
      <c r="M238" s="4" t="n">
        <v>49</v>
      </c>
      <c r="N238" s="5" t="n">
        <v>877.6</v>
      </c>
      <c r="O238" s="3" t="inlineStr">
        <is>
          <t>급매 주변 택지개발한 토지보다 저렴한 신축 전원주택을 급매합니다</t>
        </is>
      </c>
      <c r="P238" s="6">
        <f>HYPERLINK("https://fin.land.naver.com/articles/2654809419", "매물Link")</f>
        <v/>
      </c>
      <c r="Q238" s="6">
        <f>HYPERLINK("https://map.naver.com/p/search/금남면 영곡리 106-19", "지도Link")</f>
        <v/>
      </c>
      <c r="R238" s="6">
        <f>HYPERLINK("http://www.eum.go.kr/web/ar/lu/luLandDet.jsp?pnu=3611034041101060019&amp;isNoScr=script&amp;mode=search", "토지이음")</f>
        <v/>
      </c>
      <c r="S238" s="3" t="inlineStr">
        <is>
          <t>스마일세종</t>
        </is>
      </c>
      <c r="T238" s="4" t="n">
        <v>1</v>
      </c>
      <c r="U238" s="5" t="n">
        <v>96.2</v>
      </c>
      <c r="V238" s="4" t="n">
        <v>660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금남면 영곡리 106-4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50000</v>
      </c>
      <c r="H239" s="4" t="n">
        <v>0</v>
      </c>
      <c r="I239" s="4" t="n">
        <v>663</v>
      </c>
      <c r="J239" s="4" t="n">
        <v>201</v>
      </c>
      <c r="K239" s="5" t="n">
        <v>248.8</v>
      </c>
      <c r="L239" s="4" t="n">
        <v>85</v>
      </c>
      <c r="M239" s="4" t="n">
        <v>26</v>
      </c>
      <c r="N239" s="5" t="n">
        <v>1923.1</v>
      </c>
      <c r="O239" s="3" t="inlineStr">
        <is>
          <t>조용하고 살기좋은, 컨테이너 창고 있음, 다용도실1,투자하기 좋은 위치</t>
        </is>
      </c>
      <c r="P239" s="6">
        <f>HYPERLINK("https://fin.land.naver.com/articles/2653539090", "매물Link")</f>
        <v/>
      </c>
      <c r="Q239" s="6">
        <f>HYPERLINK("https://map.naver.com/p/search/금남면 영곡리 106-4", "지도Link")</f>
        <v/>
      </c>
      <c r="R239" s="6">
        <f>HYPERLINK("http://www.eum.go.kr/web/ar/lu/luLandDet.jsp?pnu=3611034041101060004&amp;isNoScr=script&amp;mode=search", "토지이음")</f>
        <v/>
      </c>
      <c r="S239" s="3" t="inlineStr">
        <is>
          <t>은성</t>
        </is>
      </c>
      <c r="T239" s="4" t="n">
        <v>1</v>
      </c>
      <c r="U239" s="5" t="n">
        <v>96.59999999999999</v>
      </c>
      <c r="V239" s="4" t="n">
        <v>633</v>
      </c>
      <c r="W239" s="3" t="inlineStr">
        <is>
          <t>계획관리지역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524-1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55000</v>
      </c>
      <c r="H241" s="4" t="n">
        <v>0</v>
      </c>
      <c r="I241" s="4" t="n">
        <v>533</v>
      </c>
      <c r="J241" s="4" t="n">
        <v>161</v>
      </c>
      <c r="K241" s="5" t="n">
        <v>341.6</v>
      </c>
      <c r="L241" s="4" t="n">
        <v>84</v>
      </c>
      <c r="M241" s="4" t="n">
        <v>25</v>
      </c>
      <c r="N241" s="5" t="n">
        <v>2200</v>
      </c>
      <c r="O241" s="3" t="inlineStr">
        <is>
          <t>nan</t>
        </is>
      </c>
      <c r="P241" s="6">
        <f>HYPERLINK("https://fin.land.naver.com/articles/2652065284", "매물Link")</f>
        <v/>
      </c>
      <c r="Q241" s="6">
        <f>HYPERLINK("https://map.naver.com/p/search/금남면 영곡리 524-1", "지도Link")</f>
        <v/>
      </c>
      <c r="R241" s="6">
        <f>HYPERLINK("http://www.eum.go.kr/web/ar/lu/luLandDet.jsp?pnu=3611034041105240001&amp;isNoScr=script&amp;mode=search", "토지이음")</f>
        <v/>
      </c>
      <c r="S241" s="3" t="inlineStr">
        <is>
          <t>다정현대</t>
        </is>
      </c>
      <c r="T241" s="4" t="n">
        <v>1</v>
      </c>
      <c r="U241" s="5" t="n">
        <v>121.9</v>
      </c>
      <c r="V241" s="4" t="n">
        <v>533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금남면 영곡리 586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31000</v>
      </c>
      <c r="H242" s="4" t="n">
        <v>0</v>
      </c>
      <c r="I242" s="4" t="n">
        <v>367</v>
      </c>
      <c r="J242" s="4" t="n">
        <v>111</v>
      </c>
      <c r="K242" s="5" t="n">
        <v>279.3</v>
      </c>
      <c r="L242" s="4" t="n">
        <v>85</v>
      </c>
      <c r="M242" s="4" t="n">
        <v>26</v>
      </c>
      <c r="N242" s="5" t="n">
        <v>1192.3</v>
      </c>
      <c r="O242" s="3" t="inlineStr">
        <is>
          <t>전원속의 전원주택이며 또랑이 집앞을 흐르고 있음</t>
        </is>
      </c>
      <c r="P242" s="6">
        <f>HYPERLINK("https://fin.land.naver.com/articles/2652103571", "매물Link")</f>
        <v/>
      </c>
      <c r="Q242" s="6">
        <f>HYPERLINK("https://map.naver.com/p/search/금남면 영곡리 586", "지도Link")</f>
        <v/>
      </c>
      <c r="R242" s="6">
        <f>HYPERLINK("http://www.eum.go.kr/web/ar/lu/luLandDet.jsp?pnu=3611034041105860000&amp;isNoScr=script&amp;mode=search", "토지이음")</f>
        <v/>
      </c>
      <c r="S242" s="3" t="inlineStr">
        <is>
          <t>세종웅진</t>
        </is>
      </c>
      <c r="T242" s="4" t="n">
        <v>1</v>
      </c>
      <c r="U242" s="5" t="n">
        <v>125.7</v>
      </c>
      <c r="V242" s="4" t="n">
        <v>335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영곡리 587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50490</v>
      </c>
      <c r="H243" s="4" t="n">
        <v>0</v>
      </c>
      <c r="I243" s="4" t="n">
        <v>490</v>
      </c>
      <c r="J243" s="4" t="n">
        <v>148</v>
      </c>
      <c r="K243" s="5" t="n">
        <v>341.1</v>
      </c>
      <c r="L243" s="4" t="n">
        <v>70</v>
      </c>
      <c r="M243" s="4" t="n">
        <v>21</v>
      </c>
      <c r="N243" s="5" t="n">
        <v>2404.3</v>
      </c>
      <c r="O243" s="3" t="inlineStr">
        <is>
          <t>토지 148.4p, 주택1층 21.2p</t>
        </is>
      </c>
      <c r="P243" s="6">
        <f>HYPERLINK("https://fin.land.naver.com/articles/2656262117", "매물Link")</f>
        <v/>
      </c>
      <c r="Q243" s="6">
        <f>HYPERLINK("https://map.naver.com/p/search/금남면 영곡리 587", "지도Link")</f>
        <v/>
      </c>
      <c r="R243" s="6">
        <f>HYPERLINK("http://www.eum.go.kr/web/ar/lu/luLandDet.jsp?pnu=3611034041105870000&amp;isNoScr=script&amp;mode=search",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125.7</v>
      </c>
      <c r="V243" s="4" t="n">
        <v>490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63-14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35000</v>
      </c>
      <c r="H244" s="4" t="n">
        <v>0</v>
      </c>
      <c r="I244" s="4" t="n">
        <v>496</v>
      </c>
      <c r="J244" s="4" t="n">
        <v>150</v>
      </c>
      <c r="K244" s="5" t="n">
        <v>233.3</v>
      </c>
      <c r="L244" s="4" t="n">
        <v>21</v>
      </c>
      <c r="M244" s="4" t="n">
        <v>6</v>
      </c>
      <c r="N244" s="5" t="n">
        <v>5833.3</v>
      </c>
      <c r="O244" s="3" t="inlineStr">
        <is>
          <t>가격 최대 조절 , 전화주셔요</t>
        </is>
      </c>
      <c r="P244" s="6">
        <f>HYPERLINK("https://fin.land.naver.com/articles/2655697532", "매물Link")</f>
        <v/>
      </c>
      <c r="Q244" s="6">
        <f>HYPERLINK("https://map.naver.com/p/search/금남면 영곡리 63-14", "지도Link")</f>
        <v/>
      </c>
      <c r="R244" s="6">
        <f>HYPERLINK("http://www.eum.go.kr/web/ar/lu/luLandDet.jsp?pnu=3611034041100630014&amp;isNoScr=script&amp;mode=search", "토지이음")</f>
        <v/>
      </c>
      <c r="S244" s="3" t="inlineStr">
        <is>
          <t>최무연</t>
        </is>
      </c>
      <c r="T244" s="4" t="n">
        <v>1</v>
      </c>
      <c r="U244" s="5" t="n">
        <v>105.2</v>
      </c>
      <c r="V244" s="4" t="n">
        <v>496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금남면 영치리 273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1197</v>
      </c>
      <c r="J245" s="4" t="n">
        <v>362</v>
      </c>
      <c r="K245" s="5" t="n">
        <v>221</v>
      </c>
      <c r="L245" s="4" t="n">
        <v>101</v>
      </c>
      <c r="M245" s="4" t="n">
        <v>31</v>
      </c>
      <c r="N245" s="5" t="n">
        <v>2580.6</v>
      </c>
      <c r="O245" s="3" t="inlineStr">
        <is>
          <t>세종 금남면 투자가치 높은 주택 토지 3필지 일괄매매</t>
        </is>
      </c>
      <c r="P245" s="6">
        <f>HYPERLINK("https://fin.land.naver.com/articles/2652300417", "매물Link")</f>
        <v/>
      </c>
      <c r="Q245" s="6">
        <f>HYPERLINK("https://map.naver.com/p/search/금남면 영치리 273", "지도Link")</f>
        <v/>
      </c>
      <c r="R245" s="6">
        <f>HYPERLINK("http://www.eum.go.kr/web/ar/lu/luLandDet.jsp?pnu=3611034028102730000&amp;isNoScr=script&amp;mode=search", "토지이음")</f>
        <v/>
      </c>
      <c r="S245" s="3" t="inlineStr">
        <is>
          <t>로또</t>
        </is>
      </c>
      <c r="T245" s="4" t="n">
        <v>1</v>
      </c>
      <c r="U245" s="5" t="n">
        <v>110.6</v>
      </c>
      <c r="V245" s="4" t="n">
        <v>411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영치리 346-1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전세</t>
        </is>
      </c>
      <c r="G246" s="4" t="n">
        <v>25000</v>
      </c>
      <c r="H246" s="4" t="n">
        <v>0</v>
      </c>
      <c r="I246" s="4" t="n">
        <v>424</v>
      </c>
      <c r="J246" s="4" t="n">
        <v>128</v>
      </c>
      <c r="K246" s="5" t="n">
        <v>195.3</v>
      </c>
      <c r="L246" s="4" t="n">
        <v>95</v>
      </c>
      <c r="M246" s="4" t="n">
        <v>29</v>
      </c>
      <c r="N246" s="5" t="n">
        <v>862.1</v>
      </c>
      <c r="O246" s="3" t="inlineStr">
        <is>
          <t>nan</t>
        </is>
      </c>
      <c r="P246" s="6">
        <f>HYPERLINK("https://fin.land.naver.com/articles/2651380675", "매물Link")</f>
        <v/>
      </c>
      <c r="Q246" s="6">
        <f>HYPERLINK("https://map.naver.com/p/search/금남면 영치리 346-1", "지도Link")</f>
        <v/>
      </c>
      <c r="R246" s="6">
        <f>HYPERLINK("http://www.eum.go.kr/web/ar/lu/luLandDet.jsp?pnu=3611034028103460001&amp;isNoScr=script&amp;mode=search", "토지이음")</f>
        <v/>
      </c>
      <c r="S246" s="3" t="inlineStr">
        <is>
          <t>성신</t>
        </is>
      </c>
      <c r="T246" s="4" t="n">
        <v>1</v>
      </c>
      <c r="U246" s="5" t="n">
        <v>114</v>
      </c>
      <c r="V246" s="4" t="n">
        <v>424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관리상태최상 복층구조 넓은 텃밭 전원생활 모든조건 적극협의</t>
        </is>
      </c>
      <c r="P248" s="6">
        <f>HYPERLINK("https://fin.land.naver.com/articles/2653795897",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홍기표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세종 대전 15분 거리 명품 주택 매매 I 대나무 실내 온실 태양광 완비</t>
        </is>
      </c>
      <c r="P249" s="6">
        <f>HYPERLINK("https://fin.land.naver.com/articles/2655996463",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세종신한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신축 단독주택 매매, 가격조율도가능, 방3개, 화장실2개</t>
        </is>
      </c>
      <c r="P250" s="6">
        <f>HYPERLINK("https://fin.land.naver.com/articles/2651192377",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명진</t>
        </is>
      </c>
      <c r="T250" s="4" t="n">
        <v>2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108-3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80000</v>
      </c>
      <c r="H251" s="4" t="n">
        <v>0</v>
      </c>
      <c r="I251" s="4" t="n">
        <v>463</v>
      </c>
      <c r="J251" s="4" t="n">
        <v>140</v>
      </c>
      <c r="K251" s="5" t="n">
        <v>571.4</v>
      </c>
      <c r="L251" s="4" t="n">
        <v>96</v>
      </c>
      <c r="M251" s="4" t="n">
        <v>29</v>
      </c>
      <c r="N251" s="5" t="n">
        <v>2758.6</v>
      </c>
      <c r="O251" s="3" t="inlineStr">
        <is>
          <t>마당 넓은 리모델링 완료된 단독주택 매매, 내부 인테리어 굿</t>
        </is>
      </c>
      <c r="P251" s="6">
        <f>HYPERLINK("https://fin.land.naver.com/articles/2653667776", "매물Link")</f>
        <v/>
      </c>
      <c r="Q251" s="6">
        <f>HYPERLINK("https://map.naver.com/p/search/금남면 용담리 108-3", "지도Link")</f>
        <v/>
      </c>
      <c r="R251" s="6">
        <f>HYPERLINK("http://www.eum.go.kr/web/ar/lu/luLandDet.jsp?pnu=3611034025101080003&amp;isNoScr=script&amp;mode=search", "토지이음")</f>
        <v/>
      </c>
      <c r="S251" s="3" t="inlineStr">
        <is>
          <t>세종무지개</t>
        </is>
      </c>
      <c r="T251" s="4" t="n">
        <v>1</v>
      </c>
      <c r="U251" s="5" t="n">
        <v>137.4</v>
      </c>
      <c r="V251" s="4" t="n">
        <v>437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세로각지(가)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35</v>
      </c>
      <c r="I257" s="4" t="n">
        <v>0</v>
      </c>
      <c r="J257" s="4" t="n">
        <v>0</v>
      </c>
      <c r="K257" s="5" t="n">
        <v>0</v>
      </c>
      <c r="L257" s="4" t="n">
        <v>17</v>
      </c>
      <c r="M257" s="4" t="n">
        <v>5</v>
      </c>
      <c r="N257" s="5" t="n">
        <v>7</v>
      </c>
      <c r="O257" s="3" t="inlineStr">
        <is>
          <t>소음걱정 없는 탑층 풀옵션 원룸, 버스정류장 재래시장 관공서 인접</t>
        </is>
      </c>
      <c r="P257" s="6">
        <f>HYPERLINK("https://fin.land.naver.com/articles/2656007516",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한빛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수익성 좋은 다가구주택 매매, 대평시장 인접한 세입자 선호 입지</t>
        </is>
      </c>
      <c r="P264" s="6">
        <f>HYPERLINK("https://fin.land.naver.com/articles/2656008237",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한빛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전세</t>
        </is>
      </c>
      <c r="G265" s="4" t="n">
        <v>5500</v>
      </c>
      <c r="H265" s="4" t="n">
        <v>0</v>
      </c>
      <c r="I265" s="4" t="n">
        <v>0</v>
      </c>
      <c r="J265" s="4" t="n">
        <v>0</v>
      </c>
      <c r="K265" s="5" t="n">
        <v>0</v>
      </c>
      <c r="L265" s="4" t="n">
        <v>20</v>
      </c>
      <c r="M265" s="4" t="n">
        <v>6</v>
      </c>
      <c r="N265" s="5" t="n">
        <v>916.7</v>
      </c>
      <c r="O265" s="3" t="inlineStr">
        <is>
          <t>복층형 귀한 전세, 무융자</t>
        </is>
      </c>
      <c r="P265" s="6">
        <f>HYPERLINK("https://fin.land.naver.com/articles/2653961808",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용포농협인근으로 위치도아주좋아요</t>
        </is>
      </c>
      <c r="P266" s="6">
        <f>HYPERLINK("https://fin.land.naver.com/articles/2656141336",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가장힐스테이트백억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공실 걱정없는 대평시장 터미널 인접한 수익형 다가구</t>
        </is>
      </c>
      <c r="P267" s="6">
        <f>HYPERLINK("https://fin.land.naver.com/articles/2655557110",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뉴엘리트탑</t>
        </is>
      </c>
      <c r="T267" s="4" t="n">
        <v>2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공실없고, 위치좋음, 대평시장 인근, 수요많음</t>
        </is>
      </c>
      <c r="P268" s="6">
        <f>HYPERLINK("https://fin.land.naver.com/articles/2653006777",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세종온정성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43</v>
      </c>
      <c r="I273" s="4" t="n">
        <v>33</v>
      </c>
      <c r="J273" s="4" t="n">
        <v>10</v>
      </c>
      <c r="K273" s="5" t="n">
        <v>4.3</v>
      </c>
      <c r="L273" s="4" t="n">
        <v>25</v>
      </c>
      <c r="M273" s="4" t="n">
        <v>8</v>
      </c>
      <c r="N273" s="5" t="n">
        <v>5.4</v>
      </c>
      <c r="O273" s="3" t="inlineStr">
        <is>
          <t>방,주방 분리된 풀옵션 원룸,  조용하고 거주가 편해요</t>
        </is>
      </c>
      <c r="P273" s="6">
        <f>HYPERLINK("https://fin.land.naver.com/articles/2656076639",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62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37</v>
      </c>
      <c r="I275" s="4" t="n">
        <v>26</v>
      </c>
      <c r="J275" s="4" t="n">
        <v>8</v>
      </c>
      <c r="K275" s="5" t="n">
        <v>4.6</v>
      </c>
      <c r="L275" s="4" t="n">
        <v>23</v>
      </c>
      <c r="M275" s="4" t="n">
        <v>7</v>
      </c>
      <c r="N275" s="5" t="n">
        <v>5.3</v>
      </c>
      <c r="O275" s="3" t="inlineStr">
        <is>
          <t>깔끔한 풀옵션 원룸11월 3일 부터  입주예요</t>
        </is>
      </c>
      <c r="P275" s="6">
        <f>HYPERLINK("https://fin.land.naver.com/articles/2650918228", "매물Link")</f>
        <v/>
      </c>
      <c r="Q275" s="6">
        <f>HYPERLINK("https://map.naver.com/p/search/금남면 용포리 62", "지도Link")</f>
        <v/>
      </c>
      <c r="R275" s="6">
        <f>HYPERLINK("http://www.eum.go.kr/web/ar/lu/luLandDet.jsp?pnu=3611034021100620000&amp;isNoScr=script&amp;mode=search",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326.2</v>
      </c>
      <c r="V275" s="4" t="n">
        <v>308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188</v>
      </c>
      <c r="J277" s="4" t="n">
        <v>57</v>
      </c>
      <c r="K277" s="5" t="n">
        <v>1491.2</v>
      </c>
      <c r="L277" s="4" t="n">
        <v>296</v>
      </c>
      <c r="M277" s="4" t="n">
        <v>90</v>
      </c>
      <c r="N277" s="5" t="n">
        <v>944.4</v>
      </c>
      <c r="O277" s="3" t="inlineStr">
        <is>
          <t>공실없이 수익율 좋은 수익형 다중주택 매매 타지역에서도 관리가능 금액협의</t>
        </is>
      </c>
      <c r="P277" s="6">
        <f>HYPERLINK("https://fin.land.naver.com/articles/2656204384",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센트라스탑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100</v>
      </c>
      <c r="H278" s="4" t="n">
        <v>35</v>
      </c>
      <c r="I278" s="4" t="n">
        <v>0</v>
      </c>
      <c r="J278" s="4" t="n">
        <v>0</v>
      </c>
      <c r="K278" s="5" t="n">
        <v>0</v>
      </c>
      <c r="L278" s="4" t="n">
        <v>18</v>
      </c>
      <c r="M278" s="4" t="n">
        <v>5</v>
      </c>
      <c r="N278" s="5" t="n">
        <v>7</v>
      </c>
      <c r="O278" s="3" t="inlineStr">
        <is>
          <t>11월 입주가능한 풀옵션 원룸입니다.</t>
        </is>
      </c>
      <c r="P278" s="6">
        <f>HYPERLINK("https://fin.land.naver.com/articles/2654269912",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골드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풀옵션 터미널 재래시장  청사가까워요</t>
        </is>
      </c>
      <c r="P279" s="6">
        <f>HYPERLINK("https://fin.land.naver.com/articles/2655222350",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너ㅏㄼ고 깨끗하며 대평시장 버스정류장 가까워 교통 생활편리 입주협의</t>
        </is>
      </c>
      <c r="P282" s="6">
        <f>HYPERLINK("https://fin.land.naver.com/articles/2655716434",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나성행복주는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36</v>
      </c>
      <c r="J283" s="4" t="n">
        <v>11</v>
      </c>
      <c r="K283" s="5" t="n">
        <v>4.5</v>
      </c>
      <c r="L283" s="4" t="n">
        <v>34</v>
      </c>
      <c r="M283" s="4" t="n">
        <v>10</v>
      </c>
      <c r="N283" s="5" t="n">
        <v>5</v>
      </c>
      <c r="O283" s="3" t="inlineStr">
        <is>
          <t>전용 넓은  풀옵션1.5룸 12월 2일 부터 입주</t>
        </is>
      </c>
      <c r="P283" s="6">
        <f>HYPERLINK("https://fin.land.naver.com/articles/2655208987", "매물Link")</f>
        <v/>
      </c>
      <c r="Q283" s="6">
        <f>HYPERLINK("https://map.naver.com/p/search/금남면 용포리 81-6", "지도Link")</f>
        <v/>
      </c>
      <c r="R283" s="6">
        <f>HYPERLINK("http://www.eum.go.kr/web/ar/lu/luLandDet.jsp?pnu=3611034021100810006&amp;isNoScr=script&amp;mode=search",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449.6</v>
      </c>
      <c r="V283" s="4" t="n">
        <v>246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81-8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40</v>
      </c>
      <c r="I285" s="4" t="n">
        <v>38</v>
      </c>
      <c r="J285" s="4" t="n">
        <v>11</v>
      </c>
      <c r="K285" s="5" t="n">
        <v>3.6</v>
      </c>
      <c r="L285" s="4" t="n">
        <v>25</v>
      </c>
      <c r="M285" s="4" t="n">
        <v>8</v>
      </c>
      <c r="N285" s="5" t="n">
        <v>5</v>
      </c>
      <c r="O285" s="3" t="inlineStr">
        <is>
          <t>컬러풀한 실내.풀옵션 원룸, 주차도 편리해요</t>
        </is>
      </c>
      <c r="P285" s="6">
        <f>HYPERLINK("https://fin.land.naver.com/articles/2653162404", "매물Link")</f>
        <v/>
      </c>
      <c r="Q285" s="6">
        <f>HYPERLINK("https://map.naver.com/p/search/금남면 용포리 81-8", "지도Link")</f>
        <v/>
      </c>
      <c r="R285" s="6">
        <f>HYPERLINK("http://www.eum.go.kr/web/ar/lu/luLandDet.jsp?pnu=3611034021100810008&amp;isNoScr=script&amp;mode=search",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487.6</v>
      </c>
      <c r="V285" s="4" t="n">
        <v>289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25</v>
      </c>
      <c r="J286" s="4" t="n">
        <v>8</v>
      </c>
      <c r="K286" s="5" t="n">
        <v>4.5</v>
      </c>
      <c r="L286" s="4" t="n">
        <v>22</v>
      </c>
      <c r="M286" s="4" t="n">
        <v>7</v>
      </c>
      <c r="N286" s="5" t="n">
        <v>5.1</v>
      </c>
      <c r="O286" s="3" t="inlineStr">
        <is>
          <t>남향 풀옵션 터미널 청사 시청가까워요</t>
        </is>
      </c>
      <c r="P286" s="6">
        <f>HYPERLINK("https://fin.land.naver.com/articles/2653333173",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성신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81-9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36</v>
      </c>
      <c r="I287" s="4" t="n">
        <v>33</v>
      </c>
      <c r="J287" s="4" t="n">
        <v>10</v>
      </c>
      <c r="K287" s="5" t="n">
        <v>3.6</v>
      </c>
      <c r="L287" s="4" t="n">
        <v>23</v>
      </c>
      <c r="M287" s="4" t="n">
        <v>7</v>
      </c>
      <c r="N287" s="5" t="n">
        <v>5.1</v>
      </c>
      <c r="O287" s="3" t="inlineStr">
        <is>
          <t>밝고 깔끔한 풀옵션원룸, 주차 편리, 1인거주추천</t>
        </is>
      </c>
      <c r="P287" s="6">
        <f>HYPERLINK("https://fin.land.naver.com/articles/2653324513", "매물Link")</f>
        <v/>
      </c>
      <c r="Q287" s="6">
        <f>HYPERLINK("https://map.naver.com/p/search/금남면 용포리 81-9", "지도Link")</f>
        <v/>
      </c>
      <c r="R287" s="6">
        <f>HYPERLINK("http://www.eum.go.kr/web/ar/lu/luLandDet.jsp?pnu=3611034021100810009&amp;isNoScr=script&amp;mode=search",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87-5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37</v>
      </c>
      <c r="I288" s="4" t="n">
        <v>25</v>
      </c>
      <c r="J288" s="4" t="n">
        <v>8</v>
      </c>
      <c r="K288" s="5" t="n">
        <v>4.6</v>
      </c>
      <c r="L288" s="4" t="n">
        <v>23</v>
      </c>
      <c r="M288" s="4" t="n">
        <v>7</v>
      </c>
      <c r="N288" s="5" t="n">
        <v>5.3</v>
      </c>
      <c r="O288" s="3" t="inlineStr">
        <is>
          <t>깔끔한 풀옵션원룸 11월 3일 부터 입주</t>
        </is>
      </c>
      <c r="P288" s="6">
        <f>HYPERLINK("https://fin.land.naver.com/articles/2651743491", "매물Link")</f>
        <v/>
      </c>
      <c r="Q288" s="6">
        <f>HYPERLINK("https://map.naver.com/p/search/금남면 용포리 87-5", "지도Link")</f>
        <v/>
      </c>
      <c r="R288" s="6">
        <f>HYPERLINK("http://www.eum.go.kr/web/ar/lu/luLandDet.jsp?pnu=3611034021100870005&amp;isNoScr=script&amp;mode=search",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419.2</v>
      </c>
      <c r="V288" s="4" t="n">
        <v>454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금남면 용포리 88-14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54000</v>
      </c>
      <c r="H289" s="4" t="n">
        <v>0</v>
      </c>
      <c r="I289" s="4" t="n">
        <v>121</v>
      </c>
      <c r="J289" s="4" t="n">
        <v>37</v>
      </c>
      <c r="K289" s="5" t="n">
        <v>1459.5</v>
      </c>
      <c r="L289" s="4" t="n">
        <v>208</v>
      </c>
      <c r="M289" s="4" t="n">
        <v>63</v>
      </c>
      <c r="N289" s="5" t="n">
        <v>857.1</v>
      </c>
      <c r="O289" s="3" t="inlineStr">
        <is>
          <t>nan</t>
        </is>
      </c>
      <c r="P289" s="6">
        <f>HYPERLINK("https://fin.land.naver.com/articles/2653325078", "매물Link")</f>
        <v/>
      </c>
      <c r="Q289" s="6">
        <f>HYPERLINK("https://map.naver.com/p/search/금남면 용포리 88-14", "지도Link")</f>
        <v/>
      </c>
      <c r="R289" s="6">
        <f>HYPERLINK("http://www.eum.go.kr/web/ar/lu/luLandDet.jsp?pnu=3611034021100880014&amp;isNoScr=script&amp;mode=search", "토지이음")</f>
        <v/>
      </c>
      <c r="S289" s="3" t="inlineStr">
        <is>
          <t>세종</t>
        </is>
      </c>
      <c r="T289" s="4" t="n">
        <v>1</v>
      </c>
      <c r="U289" s="5" t="n">
        <v>667.1</v>
      </c>
      <c r="V289" s="4" t="n">
        <v>119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중로한면</t>
        </is>
      </c>
    </row>
    <row r="290">
      <c r="A290" s="3" t="inlineStr">
        <is>
          <t>금남면 원봉리 380-5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70000</v>
      </c>
      <c r="H290" s="4" t="n">
        <v>0</v>
      </c>
      <c r="I290" s="4" t="n">
        <v>708</v>
      </c>
      <c r="J290" s="4" t="n">
        <v>214</v>
      </c>
      <c r="K290" s="5" t="n">
        <v>327.1</v>
      </c>
      <c r="L290" s="4" t="n">
        <v>198</v>
      </c>
      <c r="M290" s="4" t="n">
        <v>60</v>
      </c>
      <c r="N290" s="5" t="n">
        <v>1166.7</v>
      </c>
      <c r="O290" s="3" t="inlineStr">
        <is>
          <t>대지708 m2이뿐 카페가능한 전원주택계획관리전퀼트카페운영</t>
        </is>
      </c>
      <c r="P290" s="6">
        <f>HYPERLINK("https://fin.land.naver.com/articles/2652321444", "매물Link")</f>
        <v/>
      </c>
      <c r="Q290" s="6">
        <f>HYPERLINK("https://map.naver.com/p/search/금남면 원봉리 380-5", "지도Link")</f>
        <v/>
      </c>
      <c r="R290" s="6">
        <f>HYPERLINK("http://www.eum.go.kr/web/ar/lu/luLandDet.jsp?pnu=3611034045103800005&amp;isNoScr=script&amp;mode=search", "토지이음")</f>
        <v/>
      </c>
      <c r="S290" s="3" t="inlineStr">
        <is>
          <t>세종부부</t>
        </is>
      </c>
      <c r="T290" s="4" t="n">
        <v>1</v>
      </c>
      <c r="U290" s="5" t="n">
        <v>117.4</v>
      </c>
      <c r="V290" s="4" t="n">
        <v>686</v>
      </c>
      <c r="W290" s="3" t="inlineStr">
        <is>
          <t>보전관리지역</t>
        </is>
      </c>
      <c r="X290" s="3" t="inlineStr">
        <is>
          <t>주거기타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원봉리 548-20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995</v>
      </c>
      <c r="J291" s="4" t="n">
        <v>301</v>
      </c>
      <c r="K291" s="5" t="n">
        <v>282.4</v>
      </c>
      <c r="L291" s="4" t="n">
        <v>215</v>
      </c>
      <c r="M291" s="4" t="n">
        <v>65</v>
      </c>
      <c r="N291" s="5" t="n">
        <v>1307.7</v>
      </c>
      <c r="O291" s="3" t="inlineStr">
        <is>
          <t>nan</t>
        </is>
      </c>
      <c r="P291" s="6">
        <f>HYPERLINK("https://fin.land.naver.com/articles/2652143572", "매물Link")</f>
        <v/>
      </c>
      <c r="Q291" s="6">
        <f>HYPERLINK("https://map.naver.com/p/search/금남면 원봉리 548-20", "지도Link")</f>
        <v/>
      </c>
      <c r="R291" s="6">
        <f>HYPERLINK("http://www.eum.go.kr/web/ar/lu/luLandDet.jsp?pnu=3611034045105480020&amp;isNoScr=script&amp;mode=search", "토지이음")</f>
        <v/>
      </c>
      <c r="S291" s="3" t="inlineStr">
        <is>
          <t>광장</t>
        </is>
      </c>
      <c r="T291" s="4" t="n">
        <v>1</v>
      </c>
      <c r="U291" s="5" t="n">
        <v>124.1</v>
      </c>
      <c r="V291" s="4" t="n">
        <v>510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575-20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단독</t>
        </is>
      </c>
      <c r="F292" s="3" t="inlineStr">
        <is>
          <t>전세</t>
        </is>
      </c>
      <c r="G292" s="4" t="n">
        <v>65000</v>
      </c>
      <c r="H292" s="4" t="n">
        <v>0</v>
      </c>
      <c r="I292" s="4" t="n">
        <v>354</v>
      </c>
      <c r="J292" s="4" t="n">
        <v>107</v>
      </c>
      <c r="K292" s="5" t="n">
        <v>607.5</v>
      </c>
      <c r="L292" s="4" t="n">
        <v>354</v>
      </c>
      <c r="M292" s="4" t="n">
        <v>107</v>
      </c>
      <c r="N292" s="5" t="n">
        <v>607.5</v>
      </c>
      <c r="O292" s="3" t="inlineStr">
        <is>
          <t>고급 단독주택 전세, 1.2층 개별전세가능, 즉시입주</t>
        </is>
      </c>
      <c r="P292" s="6">
        <f>HYPERLINK("https://fin.land.naver.com/articles/2654965447", "매물Link")</f>
        <v/>
      </c>
      <c r="Q292" s="6">
        <f>HYPERLINK("https://map.naver.com/p/search/금남면 원봉리 575-20", "지도Link")</f>
        <v/>
      </c>
      <c r="R292" s="6">
        <f>HYPERLINK("http://www.eum.go.kr/web/ar/lu/luLandDet.jsp?pnu=3611034045105750020&amp;isNoScr=script&amp;mode=search", "토지이음")</f>
        <v/>
      </c>
      <c r="S292" s="3" t="inlineStr">
        <is>
          <t>세종무지개</t>
        </is>
      </c>
      <c r="T292" s="4" t="n">
        <v>1</v>
      </c>
      <c r="U292" s="5" t="n">
        <v>123.6</v>
      </c>
      <c r="V292" s="4" t="n">
        <v>724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81-11</t>
        </is>
      </c>
      <c r="B293" s="3" t="inlineStr">
        <is>
          <t>보전관리지역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52000</v>
      </c>
      <c r="H293" s="4" t="n">
        <v>0</v>
      </c>
      <c r="I293" s="4" t="n">
        <v>442</v>
      </c>
      <c r="J293" s="4" t="n">
        <v>134</v>
      </c>
      <c r="K293" s="5" t="n">
        <v>388.1</v>
      </c>
      <c r="L293" s="4" t="n">
        <v>87</v>
      </c>
      <c r="M293" s="4" t="n">
        <v>26</v>
      </c>
      <c r="N293" s="5" t="n">
        <v>2000</v>
      </c>
      <c r="O293" s="3" t="inlineStr">
        <is>
          <t>nan</t>
        </is>
      </c>
      <c r="P293" s="6">
        <f>HYPERLINK("https://fin.land.naver.com/articles/2652692781", "매물Link")</f>
        <v/>
      </c>
      <c r="Q293" s="6">
        <f>HYPERLINK("https://map.naver.com/p/search/금남면 원봉리 81-11", "지도Link")</f>
        <v/>
      </c>
      <c r="R293" s="6">
        <f>HYPERLINK("http://www.eum.go.kr/web/ar/lu/luLandDet.jsp?pnu=3611034045100810011&amp;isNoScr=script&amp;mode=search", "토지이음")</f>
        <v/>
      </c>
      <c r="S293" s="3" t="inlineStr">
        <is>
          <t>반곡황금더샵</t>
        </is>
      </c>
      <c r="T293" s="4" t="n">
        <v>1</v>
      </c>
      <c r="U293" s="5" t="n">
        <v>81</v>
      </c>
      <c r="V293" s="4" t="n">
        <v>442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세로장방</t>
        </is>
      </c>
      <c r="AA293" s="3" t="inlineStr">
        <is>
          <t>세로한면(가)</t>
        </is>
      </c>
    </row>
    <row r="294">
      <c r="A294" s="3" t="inlineStr">
        <is>
          <t>금남면 원봉리 99-31</t>
        </is>
      </c>
      <c r="B294" s="3" t="inlineStr">
        <is>
          <t>보전관리지역</t>
        </is>
      </c>
      <c r="C294" s="3" t="inlineStr">
        <is>
          <t>임야</t>
        </is>
      </c>
      <c r="D294" s="3" t="inlineStr">
        <is>
          <t>1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48000</v>
      </c>
      <c r="H294" s="4" t="n">
        <v>0</v>
      </c>
      <c r="I294" s="4" t="n">
        <v>855</v>
      </c>
      <c r="J294" s="4" t="n">
        <v>259</v>
      </c>
      <c r="K294" s="5" t="n">
        <v>185.3</v>
      </c>
      <c r="L294" s="4" t="n">
        <v>87</v>
      </c>
      <c r="M294" s="4" t="n">
        <v>26</v>
      </c>
      <c r="N294" s="5" t="n">
        <v>1846.2</v>
      </c>
      <c r="O294" s="3" t="inlineStr">
        <is>
          <t>마당넓은 근생주택</t>
        </is>
      </c>
      <c r="P294" s="6">
        <f>HYPERLINK("https://fin.land.naver.com/articles/2651113314", "매물Link")</f>
        <v/>
      </c>
      <c r="Q294" s="6">
        <f>HYPERLINK("https://map.naver.com/p/search/금남면 원봉리 99-31", "지도Link")</f>
        <v/>
      </c>
      <c r="R294" s="6">
        <f>HYPERLINK("http://www.eum.go.kr/web/ar/lu/luLandDet.jsp?pnu=3611034045100990031&amp;isNoScr=script&amp;mode=search", "토지이음")</f>
        <v/>
      </c>
      <c r="S294" s="3" t="inlineStr">
        <is>
          <t>세계로</t>
        </is>
      </c>
      <c r="T294" s="4" t="n">
        <v>1</v>
      </c>
      <c r="U294" s="5" t="n">
        <v>14.3</v>
      </c>
      <c r="V294" s="4" t="n">
        <v>855</v>
      </c>
      <c r="W294" s="3" t="inlineStr">
        <is>
          <t>지정되지않음</t>
        </is>
      </c>
      <c r="X294" s="3" t="inlineStr">
        <is>
          <t>자연림</t>
        </is>
      </c>
      <c r="Y294" s="3" t="inlineStr">
        <is>
          <t>급경사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금남면 장재리 347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75000</v>
      </c>
      <c r="H295" s="4" t="n">
        <v>0</v>
      </c>
      <c r="I295" s="4" t="n">
        <v>293</v>
      </c>
      <c r="J295" s="4" t="n">
        <v>89</v>
      </c>
      <c r="K295" s="5" t="n">
        <v>842.7</v>
      </c>
      <c r="L295" s="4" t="n">
        <v>99</v>
      </c>
      <c r="M295" s="4" t="n">
        <v>30</v>
      </c>
      <c r="N295" s="5" t="n">
        <v>2500</v>
      </c>
      <c r="O295" s="3" t="inlineStr">
        <is>
          <t>소담동 인근 도심속 전원,1층 창고처럼 넓은 공간 활용,탁트인별장 전망</t>
        </is>
      </c>
      <c r="P295" s="6">
        <f>HYPERLINK("https://fin.land.naver.com/articles/2651652148", "매물Link")</f>
        <v/>
      </c>
      <c r="Q295" s="6">
        <f>HYPERLINK("https://map.naver.com/p/search/금남면 장재리 347", "지도Link")</f>
        <v/>
      </c>
      <c r="R295" s="6">
        <f>HYPERLINK("http://www.eum.go.kr/web/ar/lu/luLandDet.jsp?pnu=3611034036103470000&amp;isNoScr=script&amp;mode=search", "토지이음")</f>
        <v/>
      </c>
      <c r="S295" s="3" t="inlineStr">
        <is>
          <t>강남뜰</t>
        </is>
      </c>
      <c r="T295" s="4" t="n">
        <v>1</v>
      </c>
      <c r="U295" s="5" t="n">
        <v>287.2</v>
      </c>
      <c r="V295" s="4" t="n">
        <v>293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세로각지(가)</t>
        </is>
      </c>
    </row>
    <row r="296">
      <c r="A296" s="3" t="inlineStr">
        <is>
          <t>금남면 축산리 340-1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44500</v>
      </c>
      <c r="H296" s="4" t="n">
        <v>0</v>
      </c>
      <c r="I296" s="4" t="n">
        <v>435</v>
      </c>
      <c r="J296" s="4" t="n">
        <v>132</v>
      </c>
      <c r="K296" s="5" t="n">
        <v>337.1</v>
      </c>
      <c r="L296" s="4" t="n">
        <v>85</v>
      </c>
      <c r="M296" s="4" t="n">
        <v>26</v>
      </c>
      <c r="N296" s="5" t="n">
        <v>1711.5</v>
      </c>
      <c r="O296" s="3" t="inlineStr">
        <is>
          <t>전원생활   집뒤 넓은텃밭 태양광설치</t>
        </is>
      </c>
      <c r="P296" s="6">
        <f>HYPERLINK("https://fin.land.naver.com/articles/2652594496", "매물Link")</f>
        <v/>
      </c>
      <c r="Q296" s="6">
        <f>HYPERLINK("https://map.naver.com/p/search/금남면 축산리 340-1", "지도Link")</f>
        <v/>
      </c>
      <c r="R296" s="6">
        <f>HYPERLINK("http://www.eum.go.kr/web/ar/lu/luLandDet.jsp?pnu=3611034026103400001&amp;isNoScr=script&amp;mode=search",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97.3</v>
      </c>
      <c r="V296" s="4" t="n">
        <v>435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금남면 축산리 340-7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40000</v>
      </c>
      <c r="H297" s="4" t="n">
        <v>0</v>
      </c>
      <c r="I297" s="4" t="n">
        <v>346</v>
      </c>
      <c r="J297" s="4" t="n">
        <v>105</v>
      </c>
      <c r="K297" s="5" t="n">
        <v>381</v>
      </c>
      <c r="L297" s="4" t="n">
        <v>93</v>
      </c>
      <c r="M297" s="4" t="n">
        <v>28</v>
      </c>
      <c r="N297" s="5" t="n">
        <v>1428.6</v>
      </c>
      <c r="O297" s="3" t="inlineStr">
        <is>
          <t>세종생활권 인접한 신축급단독주택 넉넉한텃밭가꾸기</t>
        </is>
      </c>
      <c r="P297" s="6">
        <f>HYPERLINK("https://fin.land.naver.com/articles/2652604994", "매물Link")</f>
        <v/>
      </c>
      <c r="Q297" s="6">
        <f>HYPERLINK("https://map.naver.com/p/search/금남면 축산리 340-7", "지도Link")</f>
        <v/>
      </c>
      <c r="R297" s="6">
        <f>HYPERLINK("http://www.eum.go.kr/web/ar/lu/luLandDet.jsp?pnu=3611034026103400007&amp;isNoScr=script&amp;mode=search",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94.40000000000001</v>
      </c>
      <c r="V297" s="4" t="n">
        <v>346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호탄리 152-2</t>
        </is>
      </c>
      <c r="B298" s="3" t="inlineStr">
        <is>
          <t>제1종일반주거지역</t>
        </is>
      </c>
      <c r="C298" s="3" t="inlineStr">
        <is>
          <t>창고용지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월세</t>
        </is>
      </c>
      <c r="G298" s="4" t="n">
        <v>2000</v>
      </c>
      <c r="H298" s="4" t="n">
        <v>60</v>
      </c>
      <c r="I298" s="4" t="n">
        <v>0</v>
      </c>
      <c r="J298" s="4" t="n">
        <v>0</v>
      </c>
      <c r="K298" s="5" t="n">
        <v>0</v>
      </c>
      <c r="L298" s="4" t="n">
        <v>96</v>
      </c>
      <c r="M298" s="4" t="n">
        <v>29</v>
      </c>
      <c r="N298" s="5" t="n">
        <v>2.1</v>
      </c>
      <c r="O298" s="3" t="inlineStr">
        <is>
          <t>금남면 호탄리 단독주택 월세</t>
        </is>
      </c>
      <c r="P298" s="6">
        <f>HYPERLINK("https://fin.land.naver.com/articles/2656314230", "매물Link")</f>
        <v/>
      </c>
      <c r="Q298" s="6">
        <f>HYPERLINK("https://map.naver.com/p/search/금남면 호탄리 152-2", "지도Link")</f>
        <v/>
      </c>
      <c r="R298" s="6">
        <f>HYPERLINK("http://www.eum.go.kr/web/ar/lu/luLandDet.jsp?pnu=3611034037101520002&amp;isNoScr=script&amp;mode=search", "토지이음")</f>
        <v/>
      </c>
      <c r="S298" s="3" t="inlineStr">
        <is>
          <t>강아지풀</t>
        </is>
      </c>
      <c r="T298" s="4" t="n">
        <v>1</v>
      </c>
      <c r="U298" s="5" t="n">
        <v>272.9</v>
      </c>
      <c r="V298" s="4" t="n">
        <v>334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금남면 황용리 118-3</t>
        </is>
      </c>
      <c r="B299" s="3" t="inlineStr">
        <is>
          <t>개발제한구역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16000</v>
      </c>
      <c r="H299" s="4" t="n">
        <v>0</v>
      </c>
      <c r="I299" s="4" t="n">
        <v>319</v>
      </c>
      <c r="J299" s="4" t="n">
        <v>96</v>
      </c>
      <c r="K299" s="5" t="n">
        <v>166.7</v>
      </c>
      <c r="L299" s="4" t="n">
        <v>52</v>
      </c>
      <c r="M299" s="4" t="n">
        <v>16</v>
      </c>
      <c r="N299" s="5" t="n">
        <v>1000</v>
      </c>
      <c r="O299" s="3" t="inlineStr">
        <is>
          <t>목조.시멘벽돌조  농가주택</t>
        </is>
      </c>
      <c r="P299" s="6">
        <f>HYPERLINK("https://fin.land.naver.com/articles/2654380151", "매물Link")</f>
        <v/>
      </c>
      <c r="Q299" s="6">
        <f>HYPERLINK("https://map.naver.com/p/search/금남면 황용리 118-3", "지도Link")</f>
        <v/>
      </c>
      <c r="R299" s="6">
        <f>HYPERLINK("http://www.eum.go.kr/web/ar/lu/luLandDet.jsp?pnu=3611034030101180003&amp;isNoScr=script&amp;mode=search", "토지이음")</f>
        <v/>
      </c>
      <c r="S299" s="3" t="inlineStr">
        <is>
          <t>보람최고</t>
        </is>
      </c>
      <c r="T299" s="4" t="n">
        <v>1</v>
      </c>
      <c r="U299" s="5" t="n">
        <v>105.7</v>
      </c>
      <c r="V299" s="4" t="n">
        <v>319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금남면 황용리 254-4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43500</v>
      </c>
      <c r="H300" s="4" t="n">
        <v>0</v>
      </c>
      <c r="I300" s="4" t="n">
        <v>478</v>
      </c>
      <c r="J300" s="4" t="n">
        <v>145</v>
      </c>
      <c r="K300" s="5" t="n">
        <v>300</v>
      </c>
      <c r="L300" s="4" t="n">
        <v>114</v>
      </c>
      <c r="M300" s="4" t="n">
        <v>34</v>
      </c>
      <c r="N300" s="5" t="n">
        <v>1279.4</v>
      </c>
      <c r="O300" s="3" t="inlineStr">
        <is>
          <t>저렴한 황용리 구옥집터</t>
        </is>
      </c>
      <c r="P300" s="6">
        <f>HYPERLINK("https://fin.land.naver.com/articles/2651993863", "매물Link")</f>
        <v/>
      </c>
      <c r="Q300" s="6">
        <f>HYPERLINK("https://map.naver.com/p/search/금남면 황용리 254-4", "지도Link")</f>
        <v/>
      </c>
      <c r="R300" s="6">
        <f>HYPERLINK("http://www.eum.go.kr/web/ar/lu/luLandDet.jsp?pnu=3611034030102540004&amp;isNoScr=script&amp;mode=search", "토지이음")</f>
        <v/>
      </c>
      <c r="S300" s="3" t="inlineStr">
        <is>
          <t>강아지풀</t>
        </is>
      </c>
      <c r="T300" s="4" t="n">
        <v>1</v>
      </c>
      <c r="U300" s="5" t="n">
        <v>133.9</v>
      </c>
      <c r="V300" s="4" t="n">
        <v>478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1000</v>
      </c>
      <c r="H301" s="4" t="n">
        <v>55</v>
      </c>
      <c r="I301" s="4" t="n">
        <v>65</v>
      </c>
      <c r="J301" s="4" t="n">
        <v>20</v>
      </c>
      <c r="K301" s="5" t="n">
        <v>2.8</v>
      </c>
      <c r="L301" s="4" t="n">
        <v>60</v>
      </c>
      <c r="M301" s="4" t="n">
        <v>18</v>
      </c>
      <c r="N301" s="5" t="n">
        <v>3.1</v>
      </c>
      <c r="O301" s="3" t="inlineStr">
        <is>
          <t>방1개.거실.두베이 .교통좋고 살기편리함,엘베있음.별도 관리비없음</t>
        </is>
      </c>
      <c r="P301" s="6">
        <f>HYPERLINK("https://fin.land.naver.com/articles/2654950083",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대일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388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110000</v>
      </c>
      <c r="H303" s="4" t="n">
        <v>0</v>
      </c>
      <c r="I303" s="4" t="n">
        <v>278</v>
      </c>
      <c r="J303" s="4" t="n">
        <v>84</v>
      </c>
      <c r="K303" s="5" t="n">
        <v>1309.5</v>
      </c>
      <c r="L303" s="4" t="n">
        <v>550</v>
      </c>
      <c r="M303" s="4" t="n">
        <v>166</v>
      </c>
      <c r="N303" s="5" t="n">
        <v>662.7</v>
      </c>
      <c r="O303" s="3" t="inlineStr">
        <is>
          <t>수익과 미래가치를 함께 고려한 상가건물 추천</t>
        </is>
      </c>
      <c r="P303" s="6">
        <f>HYPERLINK("https://fin.land.naver.com/articles/2656383353", "매물Link")</f>
        <v/>
      </c>
      <c r="Q303" s="6">
        <f>HYPERLINK("https://map.naver.com/p/search/남이면 가마리 388", "지도Link")</f>
        <v/>
      </c>
      <c r="R303" s="6">
        <f>HYPERLINK("http://www.eum.go.kr/web/ar/lu/luLandDet.jsp?pnu=4311231038103880000&amp;isNoScr=script&amp;mode=search", "토지이음")</f>
        <v/>
      </c>
      <c r="S303" s="3" t="inlineStr">
        <is>
          <t>미래투자</t>
        </is>
      </c>
      <c r="T303" s="4" t="n">
        <v>1</v>
      </c>
      <c r="U303" s="5" t="n">
        <v>217.9</v>
      </c>
      <c r="V303" s="4" t="n">
        <v>278.2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남이면 가마리 90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1369</v>
      </c>
      <c r="J304" s="4" t="n">
        <v>414</v>
      </c>
      <c r="K304" s="5" t="n">
        <v>241.5</v>
      </c>
      <c r="L304" s="4" t="n">
        <v>249</v>
      </c>
      <c r="M304" s="4" t="n">
        <v>75</v>
      </c>
      <c r="N304" s="5" t="n">
        <v>1333.3</v>
      </c>
      <c r="O304" s="3" t="inlineStr">
        <is>
          <t>도심지 마당넓은 대형 단독주택</t>
        </is>
      </c>
      <c r="P304" s="6">
        <f>HYPERLINK("https://fin.land.naver.com/articles/2656269372", "매물Link")</f>
        <v/>
      </c>
      <c r="Q304" s="6">
        <f>HYPERLINK("https://map.naver.com/p/search/남이면 가마리 90", "지도Link")</f>
        <v/>
      </c>
      <c r="R304" s="6">
        <f>HYPERLINK("http://www.eum.go.kr/web/ar/lu/luLandDet.jsp?pnu=4311231038100900000&amp;isNoScr=script&amp;mode=search", "토지이음")</f>
        <v/>
      </c>
      <c r="S304" s="3" t="inlineStr">
        <is>
          <t>산내들</t>
        </is>
      </c>
      <c r="T304" s="4" t="n">
        <v>1</v>
      </c>
      <c r="U304" s="5" t="n">
        <v>98.59999999999999</v>
      </c>
      <c r="V304" s="4" t="n">
        <v>1445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세로각지(가)</t>
        </is>
      </c>
    </row>
    <row r="305">
      <c r="A305" s="3" t="inlineStr">
        <is>
          <t>남이면 가좌리 134-1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41000</v>
      </c>
      <c r="H305" s="4" t="n">
        <v>0</v>
      </c>
      <c r="I305" s="4" t="n">
        <v>518</v>
      </c>
      <c r="J305" s="4" t="n">
        <v>157</v>
      </c>
      <c r="K305" s="5" t="n">
        <v>261.1</v>
      </c>
      <c r="L305" s="4" t="n">
        <v>146</v>
      </c>
      <c r="M305" s="4" t="n">
        <v>44</v>
      </c>
      <c r="N305" s="5" t="n">
        <v>931.8</v>
      </c>
      <c r="O305" s="3" t="inlineStr">
        <is>
          <t>남향 단층 전원주택 태양광 있어 편리 입주협의 가능</t>
        </is>
      </c>
      <c r="P305" s="6">
        <f>HYPERLINK("https://fin.land.naver.com/articles/2655493745", "매물Link")</f>
        <v/>
      </c>
      <c r="Q305" s="6">
        <f>HYPERLINK("https://map.naver.com/p/search/남이면 가좌리 134-1", "지도Link")</f>
        <v/>
      </c>
      <c r="R305" s="6">
        <f>HYPERLINK("http://www.eum.go.kr/web/ar/lu/luLandDet.jsp?pnu=4311231036101340001&amp;isNoScr=script&amp;mode=search", "토지이음")</f>
        <v/>
      </c>
      <c r="S305" s="3" t="inlineStr">
        <is>
          <t>테크노조은</t>
        </is>
      </c>
      <c r="T305" s="4" t="n">
        <v>1</v>
      </c>
      <c r="U305" s="5" t="n">
        <v>72.40000000000001</v>
      </c>
      <c r="V305" s="4" t="n">
        <v>518</v>
      </c>
      <c r="W305" s="3" t="inlineStr">
        <is>
          <t>보전녹지지역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134-25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651</v>
      </c>
      <c r="J306" s="4" t="n">
        <v>197</v>
      </c>
      <c r="K306" s="5" t="n">
        <v>177.7</v>
      </c>
      <c r="L306" s="4" t="n">
        <v>76</v>
      </c>
      <c r="M306" s="4" t="n">
        <v>23</v>
      </c>
      <c r="N306" s="5" t="n">
        <v>1521.7</v>
      </c>
      <c r="O306" s="3" t="inlineStr">
        <is>
          <t>남향, 전원주택복층, 방2, 욕실2, 태양광3K, 입주협의가능</t>
        </is>
      </c>
      <c r="P306" s="6">
        <f>HYPERLINK("https://fin.land.naver.com/articles/2651866891", "매물Link")</f>
        <v/>
      </c>
      <c r="Q306" s="6">
        <f>HYPERLINK("https://map.naver.com/p/search/남이면 가좌리 134-25", "지도Link")</f>
        <v/>
      </c>
      <c r="R306" s="6">
        <f>HYPERLINK("http://www.eum.go.kr/web/ar/lu/luLandDet.jsp?pnu=4311231036101340025&amp;isNoScr=script&amp;mode=search", "토지이음")</f>
        <v/>
      </c>
      <c r="S306" s="3" t="inlineStr">
        <is>
          <t>길</t>
        </is>
      </c>
      <c r="T306" s="4" t="n">
        <v>1</v>
      </c>
      <c r="U306" s="5" t="n">
        <v>66.2</v>
      </c>
      <c r="V306" s="4" t="n">
        <v>651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134-28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39000</v>
      </c>
      <c r="H307" s="4" t="n">
        <v>0</v>
      </c>
      <c r="I307" s="4" t="n">
        <v>507</v>
      </c>
      <c r="J307" s="4" t="n">
        <v>153</v>
      </c>
      <c r="K307" s="5" t="n">
        <v>254.9</v>
      </c>
      <c r="L307" s="4" t="n">
        <v>152</v>
      </c>
      <c r="M307" s="4" t="n">
        <v>46</v>
      </c>
      <c r="N307" s="5" t="n">
        <v>847.8</v>
      </c>
      <c r="O307" s="3" t="inlineStr">
        <is>
          <t>도심과 가까운 전원주택 즉시입주가능 작은 텃밥도 있어요</t>
        </is>
      </c>
      <c r="P307" s="6">
        <f>HYPERLINK("https://fin.land.naver.com/articles/2651004762", "매물Link")</f>
        <v/>
      </c>
      <c r="Q307" s="6">
        <f>HYPERLINK("https://map.naver.com/p/search/남이면 가좌리 134-28", "지도Link")</f>
        <v/>
      </c>
      <c r="R307" s="6">
        <f>HYPERLINK("http://www.eum.go.kr/web/ar/lu/luLandDet.jsp?pnu=4311231036101340028&amp;isNoScr=script&amp;mode=search", "토지이음")</f>
        <v/>
      </c>
      <c r="S307" s="3" t="inlineStr">
        <is>
          <t>이로운 사무소</t>
        </is>
      </c>
      <c r="T307" s="4" t="n">
        <v>1</v>
      </c>
      <c r="U307" s="5" t="n">
        <v>74</v>
      </c>
      <c r="V307" s="4" t="n">
        <v>507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가좌리 134-33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35000</v>
      </c>
      <c r="H308" s="4" t="n">
        <v>0</v>
      </c>
      <c r="I308" s="4" t="n">
        <v>465</v>
      </c>
      <c r="J308" s="4" t="n">
        <v>141</v>
      </c>
      <c r="K308" s="5" t="n">
        <v>248.2</v>
      </c>
      <c r="L308" s="4" t="n">
        <v>103</v>
      </c>
      <c r="M308" s="4" t="n">
        <v>31</v>
      </c>
      <c r="N308" s="5" t="n">
        <v>1129</v>
      </c>
      <c r="O308" s="3" t="inlineStr">
        <is>
          <t>입주일 협의 가능, 정남향으로 예쁜 집</t>
        </is>
      </c>
      <c r="P308" s="6">
        <f>HYPERLINK("https://fin.land.naver.com/articles/2655971407", "매물Link")</f>
        <v/>
      </c>
      <c r="Q308" s="6">
        <f>HYPERLINK("https://map.naver.com/p/search/남이면 가좌리 134-33", "지도Link")</f>
        <v/>
      </c>
      <c r="R308" s="6">
        <f>HYPERLINK("http://www.eum.go.kr/web/ar/lu/luLandDet.jsp?pnu=4311231036101340033&amp;isNoScr=script&amp;mode=search", "토지이음")</f>
        <v/>
      </c>
      <c r="S308" s="3" t="inlineStr">
        <is>
          <t>MBA</t>
        </is>
      </c>
      <c r="T308" s="4" t="n">
        <v>2</v>
      </c>
      <c r="U308" s="5" t="n">
        <v>71.8</v>
      </c>
      <c r="V308" s="4" t="n">
        <v>465</v>
      </c>
      <c r="W308" s="3" t="inlineStr">
        <is>
          <t>보전녹지지역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남이면 가좌리 134-36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39900</v>
      </c>
      <c r="H309" s="4" t="n">
        <v>0</v>
      </c>
      <c r="I309" s="4" t="n">
        <v>472</v>
      </c>
      <c r="J309" s="4" t="n">
        <v>143</v>
      </c>
      <c r="K309" s="5" t="n">
        <v>279</v>
      </c>
      <c r="L309" s="4" t="n">
        <v>143</v>
      </c>
      <c r="M309" s="4" t="n">
        <v>43</v>
      </c>
      <c r="N309" s="5" t="n">
        <v>927.9</v>
      </c>
      <c r="O309" s="3" t="inlineStr">
        <is>
          <t>가좌리 인테리어 한 깔끔한 매물 즉시입주가능</t>
        </is>
      </c>
      <c r="P309" s="6">
        <f>HYPERLINK("https://fin.land.naver.com/articles/2654841993", "매물Link")</f>
        <v/>
      </c>
      <c r="Q309" s="6">
        <f>HYPERLINK("https://map.naver.com/p/search/남이면 가좌리 134-36", "지도Link")</f>
        <v/>
      </c>
      <c r="R309" s="6">
        <f>HYPERLINK("http://www.eum.go.kr/web/ar/lu/luLandDet.jsp?pnu=4311231036101340036&amp;isNoScr=script&amp;mode=search", "토지이음")</f>
        <v/>
      </c>
      <c r="S309" s="3" t="inlineStr">
        <is>
          <t>학사</t>
        </is>
      </c>
      <c r="T309" s="4" t="n">
        <v>1</v>
      </c>
      <c r="U309" s="5" t="n">
        <v>66.8</v>
      </c>
      <c r="V309" s="4" t="n">
        <v>472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산과 어울어지는 조용한 동네 전원주택</t>
        </is>
      </c>
      <c r="P310" s="6">
        <f>HYPERLINK("https://fin.land.naver.com/articles/2652457883",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이로재벌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어덕마을 전원주택단지내 막힘없는뷰</t>
        </is>
      </c>
      <c r="P311" s="6">
        <f>HYPERLINK("https://fin.land.naver.com/articles/2654838947",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학사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청주시 인근 마당과 정원이 예쁜 1층 단독주택</t>
        </is>
      </c>
      <c r="P312" s="6">
        <f>HYPERLINK("https://fin.land.naver.com/articles/2655454095",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청주원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갈원리 137-8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61000</v>
      </c>
      <c r="H313" s="4" t="n">
        <v>0</v>
      </c>
      <c r="I313" s="4" t="n">
        <v>656</v>
      </c>
      <c r="J313" s="4" t="n">
        <v>198</v>
      </c>
      <c r="K313" s="5" t="n">
        <v>308.1</v>
      </c>
      <c r="L313" s="4" t="n">
        <v>184</v>
      </c>
      <c r="M313" s="4" t="n">
        <v>56</v>
      </c>
      <c r="N313" s="5" t="n">
        <v>1089.3</v>
      </c>
      <c r="O313" s="3" t="inlineStr">
        <is>
          <t>갈원리 넓은 대지와 건물로 위치 좋고 잘 지어진 멋진 전원주택이예요</t>
        </is>
      </c>
      <c r="P313" s="6">
        <f>HYPERLINK("https://fin.land.naver.com/articles/2653465828", "매물Link")</f>
        <v/>
      </c>
      <c r="Q313" s="6">
        <f>HYPERLINK("https://map.naver.com/p/search/남이면 갈원리 137-8", "지도Link")</f>
        <v/>
      </c>
      <c r="R313" s="6">
        <f>HYPERLINK("http://www.eum.go.kr/web/ar/lu/luLandDet.jsp?pnu=4311231029101370008&amp;isNoScr=script&amp;mode=search", "토지이음")</f>
        <v/>
      </c>
      <c r="S313" s="3" t="inlineStr">
        <is>
          <t>4989명품</t>
        </is>
      </c>
      <c r="T313" s="4" t="n">
        <v>1</v>
      </c>
      <c r="U313" s="5" t="n">
        <v>37.5</v>
      </c>
      <c r="V313" s="4" t="n">
        <v>656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세로각지(가)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2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143-10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180000</v>
      </c>
      <c r="H315" s="4" t="n">
        <v>0</v>
      </c>
      <c r="I315" s="4" t="n">
        <v>1789</v>
      </c>
      <c r="J315" s="4" t="n">
        <v>541</v>
      </c>
      <c r="K315" s="5" t="n">
        <v>332.7</v>
      </c>
      <c r="L315" s="4" t="n">
        <v>390</v>
      </c>
      <c r="M315" s="4" t="n">
        <v>118</v>
      </c>
      <c r="N315" s="5" t="n">
        <v>1525.4</v>
      </c>
      <c r="O315" s="3" t="inlineStr">
        <is>
          <t>대가족가능 대지542p 신축급 전원주택 2동 일괄매매 가격조율협의가능</t>
        </is>
      </c>
      <c r="P315" s="6">
        <f>HYPERLINK("https://fin.land.naver.com/articles/2652943213", "매물Link")</f>
        <v/>
      </c>
      <c r="Q315" s="6">
        <f>HYPERLINK("https://map.naver.com/p/search/남이면 갈원리 143-10", "지도Link")</f>
        <v/>
      </c>
      <c r="R315" s="6">
        <f>HYPERLINK("http://www.eum.go.kr/web/ar/lu/luLandDet.jsp?pnu=4311231029101430010&amp;isNoScr=script&amp;mode=search", "토지이음")</f>
        <v/>
      </c>
      <c r="S315" s="3" t="inlineStr">
        <is>
          <t>세종스타</t>
        </is>
      </c>
      <c r="T315" s="4" t="n">
        <v>1</v>
      </c>
      <c r="U315" s="5" t="n">
        <v>36.7</v>
      </c>
      <c r="V315" s="4" t="n">
        <v>1171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문동리 21-2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55000</v>
      </c>
      <c r="H316" s="4" t="n">
        <v>0</v>
      </c>
      <c r="I316" s="4" t="n">
        <v>561</v>
      </c>
      <c r="J316" s="4" t="n">
        <v>170</v>
      </c>
      <c r="K316" s="5" t="n">
        <v>323.5</v>
      </c>
      <c r="L316" s="4" t="n">
        <v>165</v>
      </c>
      <c r="M316" s="4" t="n">
        <v>50</v>
      </c>
      <c r="N316" s="5" t="n">
        <v>1100</v>
      </c>
      <c r="O316" s="3" t="inlineStr">
        <is>
          <t>넓은토지 높은층고 저렴한 매물</t>
        </is>
      </c>
      <c r="P316" s="6">
        <f>HYPERLINK("https://fin.land.naver.com/articles/2651872408", "매물Link")</f>
        <v/>
      </c>
      <c r="Q316" s="6">
        <f>HYPERLINK("https://map.naver.com/p/search/남이면 문동리 21-2", "지도Link")</f>
        <v/>
      </c>
      <c r="R316" s="6">
        <f>HYPERLINK("http://www.eum.go.kr/web/ar/lu/luLandDet.jsp?pnu=4311231023100210002&amp;isNoScr=script&amp;mode=search",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37.3</v>
      </c>
      <c r="V316" s="4" t="n">
        <v>561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정방형</t>
        </is>
      </c>
      <c r="AA316" s="3" t="inlineStr">
        <is>
          <t>세로한면(가)</t>
        </is>
      </c>
    </row>
    <row r="317">
      <c r="A317" s="3" t="inlineStr">
        <is>
          <t>남이면 부용외천리 1066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529</v>
      </c>
      <c r="J317" s="4" t="n">
        <v>160</v>
      </c>
      <c r="K317" s="5" t="n">
        <v>187.5</v>
      </c>
      <c r="L317" s="4" t="n">
        <v>86</v>
      </c>
      <c r="M317" s="4" t="n">
        <v>26</v>
      </c>
      <c r="N317" s="5" t="n">
        <v>1153.8</v>
      </c>
      <c r="O317" s="3" t="inlineStr">
        <is>
          <t>내,외부샤시 교체, 내부 올수리함, 시스템에어컨설치,조용한전원생활을원하시</t>
        </is>
      </c>
      <c r="P317" s="6">
        <f>HYPERLINK("https://fin.land.naver.com/articles/2654923530", "매물Link")</f>
        <v/>
      </c>
      <c r="Q317" s="6">
        <f>HYPERLINK("https://map.naver.com/p/search/남이면 부용외천리 1066", "지도Link")</f>
        <v/>
      </c>
      <c r="R317" s="6">
        <f>HYPERLINK("http://www.eum.go.kr/web/ar/lu/luLandDet.jsp?pnu=4311231040110660000&amp;isNoScr=script&amp;mode=search", "토지이음")</f>
        <v/>
      </c>
      <c r="S317" s="3" t="inlineStr">
        <is>
          <t>건영</t>
        </is>
      </c>
      <c r="T317" s="4" t="n">
        <v>1</v>
      </c>
      <c r="U317" s="5" t="n">
        <v>57.7</v>
      </c>
      <c r="V317" s="4" t="n">
        <v>529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부용외천리 414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30000</v>
      </c>
      <c r="H318" s="4" t="n">
        <v>0</v>
      </c>
      <c r="I318" s="4" t="n">
        <v>574</v>
      </c>
      <c r="J318" s="4" t="n">
        <v>174</v>
      </c>
      <c r="K318" s="5" t="n">
        <v>172.4</v>
      </c>
      <c r="L318" s="4" t="n">
        <v>99</v>
      </c>
      <c r="M318" s="4" t="n">
        <v>30</v>
      </c>
      <c r="N318" s="5" t="n">
        <v>1000</v>
      </c>
      <c r="O318" s="3" t="inlineStr">
        <is>
          <t>nan</t>
        </is>
      </c>
      <c r="P318" s="6">
        <f>HYPERLINK("https://fin.land.naver.com/articles/2651678918", "매물Link")</f>
        <v/>
      </c>
      <c r="Q318" s="6">
        <f>HYPERLINK("https://map.naver.com/p/search/남이면 부용외천리 414", "지도Link")</f>
        <v/>
      </c>
      <c r="R318" s="6">
        <f>HYPERLINK("http://www.eum.go.kr/web/ar/lu/luLandDet.jsp?pnu=4311231040104140000&amp;isNoScr=script&amp;mode=search", "토지이음")</f>
        <v/>
      </c>
      <c r="S318" s="3" t="inlineStr">
        <is>
          <t>거상</t>
        </is>
      </c>
      <c r="T318" s="4" t="n">
        <v>1</v>
      </c>
      <c r="U318" s="5" t="n">
        <v>32.8</v>
      </c>
      <c r="V318" s="4" t="n">
        <v>574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부용외천리 748-3</t>
        </is>
      </c>
      <c r="B319" s="3" t="inlineStr">
        <is>
          <t>보전관리지역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28000</v>
      </c>
      <c r="H319" s="4" t="n">
        <v>0</v>
      </c>
      <c r="I319" s="4" t="n">
        <v>566</v>
      </c>
      <c r="J319" s="4" t="n">
        <v>171</v>
      </c>
      <c r="K319" s="5" t="n">
        <v>163.7</v>
      </c>
      <c r="L319" s="4" t="n">
        <v>98</v>
      </c>
      <c r="M319" s="4" t="n">
        <v>30</v>
      </c>
      <c r="N319" s="5" t="n">
        <v>933.3</v>
      </c>
      <c r="O319" s="3" t="inlineStr">
        <is>
          <t>전원주택 급매매,  즉시입주 가능</t>
        </is>
      </c>
      <c r="P319" s="6">
        <f>HYPERLINK("https://fin.land.naver.com/articles/2650983192", "매물Link")</f>
        <v/>
      </c>
      <c r="Q319" s="6">
        <f>HYPERLINK("https://map.naver.com/p/search/남이면 부용외천리 748-3", "지도Link")</f>
        <v/>
      </c>
      <c r="R319" s="6">
        <f>HYPERLINK("http://www.eum.go.kr/web/ar/lu/luLandDet.jsp?pnu=4311231040107480003&amp;isNoScr=script&amp;mode=search", "토지이음")</f>
        <v/>
      </c>
      <c r="S319" s="3" t="inlineStr">
        <is>
          <t>산남태강</t>
        </is>
      </c>
      <c r="T319" s="4" t="n">
        <v>1</v>
      </c>
      <c r="U319" s="5" t="n">
        <v>32</v>
      </c>
      <c r="V319" s="4" t="n">
        <v>566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남이면 비룡리 162-1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14000</v>
      </c>
      <c r="H320" s="4" t="n">
        <v>0</v>
      </c>
      <c r="I320" s="4" t="n">
        <v>451</v>
      </c>
      <c r="J320" s="4" t="n">
        <v>136</v>
      </c>
      <c r="K320" s="5" t="n">
        <v>102.9</v>
      </c>
      <c r="L320" s="4" t="n">
        <v>103</v>
      </c>
      <c r="M320" s="4" t="n">
        <v>31</v>
      </c>
      <c r="N320" s="5" t="n">
        <v>451.6</v>
      </c>
      <c r="O320" s="3" t="inlineStr">
        <is>
          <t>nan</t>
        </is>
      </c>
      <c r="P320" s="6">
        <f>HYPERLINK("https://fin.land.naver.com/articles/2651641280", "매물Link")</f>
        <v/>
      </c>
      <c r="Q320" s="6">
        <f>HYPERLINK("https://map.naver.com/p/search/남이면 비룡리 162-1", "지도Link")</f>
        <v/>
      </c>
      <c r="R320" s="6">
        <f>HYPERLINK("http://www.eum.go.kr/web/ar/lu/luLandDet.jsp?pnu=4311231026101620001&amp;isNoScr=script&amp;mode=search", "토지이음")</f>
        <v/>
      </c>
      <c r="S320" s="3" t="inlineStr">
        <is>
          <t>(뉴)늘푸른</t>
        </is>
      </c>
      <c r="T320" s="4" t="n">
        <v>1</v>
      </c>
      <c r="U320" s="5" t="n">
        <v>33</v>
      </c>
      <c r="V320" s="4" t="n">
        <v>451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사동리 35-2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27000</v>
      </c>
      <c r="H321" s="4" t="n">
        <v>0</v>
      </c>
      <c r="I321" s="4" t="n">
        <v>635</v>
      </c>
      <c r="J321" s="4" t="n">
        <v>192</v>
      </c>
      <c r="K321" s="5" t="n">
        <v>140.6</v>
      </c>
      <c r="L321" s="4" t="n">
        <v>98</v>
      </c>
      <c r="M321" s="4" t="n">
        <v>30</v>
      </c>
      <c r="N321" s="5" t="n">
        <v>900</v>
      </c>
      <c r="O321" s="3" t="inlineStr">
        <is>
          <t>황토벽돌집, 조용한 마을, 저렴한 매물</t>
        </is>
      </c>
      <c r="P321" s="6">
        <f>HYPERLINK("https://fin.land.naver.com/articles/2654843884", "매물Link")</f>
        <v/>
      </c>
      <c r="Q321" s="6">
        <f>HYPERLINK("https://map.naver.com/p/search/남이면 사동리 35-2", "지도Link")</f>
        <v/>
      </c>
      <c r="R321" s="6">
        <f>HYPERLINK("http://www.eum.go.kr/web/ar/lu/luLandDet.jsp?pnu=4311231028100350002&amp;isNoScr=script&amp;mode=search",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44.2</v>
      </c>
      <c r="V321" s="4" t="n">
        <v>635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세로한면(불)</t>
        </is>
      </c>
    </row>
    <row r="322">
      <c r="A322" s="3" t="inlineStr">
        <is>
          <t>남이면 산막리 387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상가주택</t>
        </is>
      </c>
      <c r="F322" s="3" t="inlineStr">
        <is>
          <t>매매</t>
        </is>
      </c>
      <c r="G322" s="4" t="n">
        <v>53000</v>
      </c>
      <c r="H322" s="4" t="n">
        <v>0</v>
      </c>
      <c r="I322" s="4" t="n">
        <v>3633</v>
      </c>
      <c r="J322" s="4" t="n">
        <v>1099</v>
      </c>
      <c r="K322" s="5" t="n">
        <v>48.2</v>
      </c>
      <c r="L322" s="4" t="n">
        <v>121</v>
      </c>
      <c r="M322" s="4" t="n">
        <v>37</v>
      </c>
      <c r="N322" s="5" t="n">
        <v>1432.4</v>
      </c>
      <c r="O322" s="3" t="inlineStr">
        <is>
          <t>청정지역 양지바른 낮은산자락접 근생음식점주택 농장 급매 5.3억</t>
        </is>
      </c>
      <c r="P322" s="6">
        <f>HYPERLINK("https://fin.land.naver.com/articles/2654634484", "매물Link")</f>
        <v/>
      </c>
      <c r="Q322" s="6">
        <f>HYPERLINK("https://map.naver.com/p/search/남이면 산막리 387", "지도Link")</f>
        <v/>
      </c>
      <c r="R322" s="6">
        <f>HYPERLINK("http://www.eum.go.kr/web/ar/lu/luLandDet.jsp?pnu=4311231025103870000&amp;isNoScr=script&amp;mode=search", "토지이음")</f>
        <v/>
      </c>
      <c r="S322" s="3" t="inlineStr">
        <is>
          <t>알짜</t>
        </is>
      </c>
      <c r="T322" s="4" t="n">
        <v>1</v>
      </c>
      <c r="U322" s="5" t="n">
        <v>37.8</v>
      </c>
      <c r="V322" s="4" t="n">
        <v>650</v>
      </c>
      <c r="W322" s="3" t="inlineStr">
        <is>
          <t>지정되지않음</t>
        </is>
      </c>
      <c r="X322" s="3" t="inlineStr">
        <is>
          <t>주상용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산막리 52-2</t>
        </is>
      </c>
      <c r="B323" s="3" t="inlineStr">
        <is>
          <t>생산관리지역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980</v>
      </c>
      <c r="J323" s="4" t="n">
        <v>296</v>
      </c>
      <c r="K323" s="5" t="n">
        <v>84.5</v>
      </c>
      <c r="L323" s="4" t="n">
        <v>178</v>
      </c>
      <c r="M323" s="4" t="n">
        <v>54</v>
      </c>
      <c r="N323" s="5" t="n">
        <v>463</v>
      </c>
      <c r="O323" s="3" t="inlineStr">
        <is>
          <t>상태좋은 전원주택 부속창고도 잘 되어 있어요</t>
        </is>
      </c>
      <c r="P323" s="6">
        <f>HYPERLINK("https://fin.land.naver.com/articles/2652399833", "매물Link")</f>
        <v/>
      </c>
      <c r="Q323" s="6">
        <f>HYPERLINK("https://map.naver.com/p/search/남이면 산막리 52-2", "지도Link")</f>
        <v/>
      </c>
      <c r="R323" s="6">
        <f>HYPERLINK("http://www.eum.go.kr/web/ar/lu/luLandDet.jsp?pnu=4311231025100520002&amp;isNoScr=script&amp;mode=search", "토지이음")</f>
        <v/>
      </c>
      <c r="S323" s="3" t="inlineStr">
        <is>
          <t>힐데스하임</t>
        </is>
      </c>
      <c r="T323" s="4" t="n">
        <v>1</v>
      </c>
      <c r="U323" s="5" t="n">
        <v>16.5</v>
      </c>
      <c r="V323" s="4" t="n">
        <v>980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상발리 107-7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39000</v>
      </c>
      <c r="H324" s="4" t="n">
        <v>0</v>
      </c>
      <c r="I324" s="4" t="n">
        <v>433</v>
      </c>
      <c r="J324" s="4" t="n">
        <v>131</v>
      </c>
      <c r="K324" s="5" t="n">
        <v>297.7</v>
      </c>
      <c r="L324" s="4" t="n">
        <v>148</v>
      </c>
      <c r="M324" s="4" t="n">
        <v>45</v>
      </c>
      <c r="N324" s="5" t="n">
        <v>866.7</v>
      </c>
      <c r="O324" s="3" t="inlineStr">
        <is>
          <t>남이면 전원마을,남향,햇빛따뜻,일반철골구조,빠른입주협의,난방LPG</t>
        </is>
      </c>
      <c r="P324" s="6">
        <f>HYPERLINK("https://fin.land.naver.com/articles/2651719985", "매물Link")</f>
        <v/>
      </c>
      <c r="Q324" s="6">
        <f>HYPERLINK("https://map.naver.com/p/search/남이면 상발리 107-7", "지도Link")</f>
        <v/>
      </c>
      <c r="R324" s="6">
        <f>HYPERLINK("http://www.eum.go.kr/web/ar/lu/luLandDet.jsp?pnu=4311231031101070007&amp;isNoScr=script&amp;mode=search", "토지이음")</f>
        <v/>
      </c>
      <c r="S324" s="3" t="inlineStr">
        <is>
          <t>금호무소</t>
        </is>
      </c>
      <c r="T324" s="4" t="n">
        <v>1</v>
      </c>
      <c r="U324" s="5" t="n">
        <v>52.6</v>
      </c>
      <c r="V324" s="4" t="n">
        <v>433</v>
      </c>
      <c r="W324" s="3" t="inlineStr">
        <is>
          <t>자연녹지지역</t>
        </is>
      </c>
      <c r="X324" s="3" t="inlineStr">
        <is>
          <t>주거나지</t>
        </is>
      </c>
      <c r="Y324" s="3" t="inlineStr">
        <is>
          <t>완경사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남이면 석판리 11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50000</v>
      </c>
      <c r="H325" s="4" t="n">
        <v>0</v>
      </c>
      <c r="I325" s="4" t="n">
        <v>322</v>
      </c>
      <c r="J325" s="4" t="n">
        <v>97</v>
      </c>
      <c r="K325" s="5" t="n">
        <v>515.5</v>
      </c>
      <c r="L325" s="4" t="n">
        <v>119</v>
      </c>
      <c r="M325" s="4" t="n">
        <v>36</v>
      </c>
      <c r="N325" s="5" t="n">
        <v>1388.9</v>
      </c>
      <c r="O325" s="3" t="inlineStr">
        <is>
          <t>4차선도로접</t>
        </is>
      </c>
      <c r="P325" s="6">
        <f>HYPERLINK("https://fin.land.naver.com/articles/2654657293", "매물Link")</f>
        <v/>
      </c>
      <c r="Q325" s="6">
        <f>HYPERLINK("https://map.naver.com/p/search/남이면 석판리 11", "지도Link")</f>
        <v/>
      </c>
      <c r="R325" s="6">
        <f>HYPERLINK("http://www.eum.go.kr/web/ar/lu/luLandDet.jsp?pnu=4311231034100110000&amp;isNoScr=script&amp;mode=search", "토지이음")</f>
        <v/>
      </c>
      <c r="S325" s="3" t="inlineStr">
        <is>
          <t>청주합동</t>
        </is>
      </c>
      <c r="T325" s="4" t="n">
        <v>1</v>
      </c>
      <c r="U325" s="5" t="n">
        <v>216.5</v>
      </c>
      <c r="V325" s="4" t="n">
        <v>266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남이면 석판리 25-37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75000</v>
      </c>
      <c r="H326" s="4" t="n">
        <v>0</v>
      </c>
      <c r="I326" s="4" t="n">
        <v>600</v>
      </c>
      <c r="J326" s="4" t="n">
        <v>182</v>
      </c>
      <c r="K326" s="5" t="n">
        <v>412.1</v>
      </c>
      <c r="L326" s="4" t="n">
        <v>222</v>
      </c>
      <c r="M326" s="4" t="n">
        <v>67</v>
      </c>
      <c r="N326" s="5" t="n">
        <v>1119.4</v>
      </c>
      <c r="O326" s="3" t="inlineStr">
        <is>
          <t>청주시내권  석판리  귀한 전원주택  복층형구조  아주 관리 잘된집</t>
        </is>
      </c>
      <c r="P326" s="6">
        <f>HYPERLINK("https://fin.land.naver.com/articles/2652735230", "매물Link")</f>
        <v/>
      </c>
      <c r="Q326" s="6">
        <f>HYPERLINK("https://map.naver.com/p/search/남이면 석판리 25-37", "지도Link")</f>
        <v/>
      </c>
      <c r="R326" s="6">
        <f>HYPERLINK("http://www.eum.go.kr/web/ar/lu/luLandDet.jsp?pnu=4311231034100250037&amp;isNoScr=script&amp;mode=search", "토지이음")</f>
        <v/>
      </c>
      <c r="S326" s="3" t="inlineStr">
        <is>
          <t>산남현진에버빌</t>
        </is>
      </c>
      <c r="T326" s="4" t="n">
        <v>1</v>
      </c>
      <c r="U326" s="5" t="n">
        <v>106.4</v>
      </c>
      <c r="V326" s="4" t="n">
        <v>600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305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110000</v>
      </c>
      <c r="H329" s="4" t="n">
        <v>0</v>
      </c>
      <c r="I329" s="4" t="n">
        <v>902</v>
      </c>
      <c r="J329" s="4" t="n">
        <v>273</v>
      </c>
      <c r="K329" s="5" t="n">
        <v>402.9</v>
      </c>
      <c r="L329" s="4" t="n">
        <v>226</v>
      </c>
      <c r="M329" s="4" t="n">
        <v>68</v>
      </c>
      <c r="N329" s="5" t="n">
        <v>1617.6</v>
      </c>
      <c r="O329" s="3" t="inlineStr">
        <is>
          <t>급매 접근성 좋은 지중해풍 멋진주택</t>
        </is>
      </c>
      <c r="P329" s="6">
        <f>HYPERLINK("https://fin.land.naver.com/articles/2654837912", "매물Link")</f>
        <v/>
      </c>
      <c r="Q329" s="6">
        <f>HYPERLINK("https://map.naver.com/p/search/남이면 석판리 305", "지도Link")</f>
        <v/>
      </c>
      <c r="R329" s="6">
        <f>HYPERLINK("http://www.eum.go.kr/web/ar/lu/luLandDet.jsp?pnu=4311231034103050000&amp;isNoScr=script&amp;mode=search",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75.90000000000001</v>
      </c>
      <c r="V329" s="4" t="n">
        <v>902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석판리 382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39000</v>
      </c>
      <c r="H330" s="4" t="n">
        <v>0</v>
      </c>
      <c r="I330" s="4" t="n">
        <v>483</v>
      </c>
      <c r="J330" s="4" t="n">
        <v>146</v>
      </c>
      <c r="K330" s="5" t="n">
        <v>267.1</v>
      </c>
      <c r="L330" s="4" t="n">
        <v>149</v>
      </c>
      <c r="M330" s="4" t="n">
        <v>45</v>
      </c>
      <c r="N330" s="5" t="n">
        <v>866.7</v>
      </c>
      <c r="O330" s="3" t="inlineStr">
        <is>
          <t>석판리 2층단독주택매매</t>
        </is>
      </c>
      <c r="P330" s="6">
        <f>HYPERLINK("https://fin.land.naver.com/articles/2655522337", "매물Link")</f>
        <v/>
      </c>
      <c r="Q330" s="6">
        <f>HYPERLINK("https://map.naver.com/p/search/남이면 석판리 382", "지도Link")</f>
        <v/>
      </c>
      <c r="R330" s="6">
        <f>HYPERLINK("http://www.eum.go.kr/web/ar/lu/luLandDet.jsp?pnu=4311231034103820000&amp;isNoScr=script&amp;mode=search", "토지이음")</f>
        <v/>
      </c>
      <c r="S330" s="3" t="inlineStr">
        <is>
          <t>원탑</t>
        </is>
      </c>
      <c r="T330" s="4" t="n">
        <v>1</v>
      </c>
      <c r="U330" s="5" t="n">
        <v>77.40000000000001</v>
      </c>
      <c r="V330" s="4" t="n">
        <v>483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47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73000</v>
      </c>
      <c r="H332" s="4" t="n">
        <v>0</v>
      </c>
      <c r="I332" s="4" t="n">
        <v>427</v>
      </c>
      <c r="J332" s="4" t="n">
        <v>129</v>
      </c>
      <c r="K332" s="5" t="n">
        <v>565.9</v>
      </c>
      <c r="L332" s="4" t="n">
        <v>205</v>
      </c>
      <c r="M332" s="4" t="n">
        <v>62</v>
      </c>
      <c r="N332" s="5" t="n">
        <v>1177.4</v>
      </c>
      <c r="O332" s="3" t="inlineStr">
        <is>
          <t>남이면 석판리  전원주택 매매</t>
        </is>
      </c>
      <c r="P332" s="6">
        <f>HYPERLINK("https://fin.land.naver.com/articles/2651347383", "매물Link")</f>
        <v/>
      </c>
      <c r="Q332" s="6">
        <f>HYPERLINK("https://map.naver.com/p/search/남이면 석판리 47", "지도Link")</f>
        <v/>
      </c>
      <c r="R332" s="6">
        <f>HYPERLINK("http://www.eum.go.kr/web/ar/lu/luLandDet.jsp?pnu=4311231034100470000&amp;isNoScr=script&amp;mode=search", "토지이음")</f>
        <v/>
      </c>
      <c r="S332" s="3" t="inlineStr">
        <is>
          <t>금호사랑</t>
        </is>
      </c>
      <c r="T332" s="4" t="n">
        <v>1</v>
      </c>
      <c r="U332" s="5" t="n">
        <v>82.2</v>
      </c>
      <c r="V332" s="4" t="n">
        <v>427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부정형</t>
        </is>
      </c>
      <c r="AA332" s="3" t="inlineStr">
        <is>
          <t>세로각지(가)</t>
        </is>
      </c>
    </row>
    <row r="333">
      <c r="A333" s="3" t="inlineStr">
        <is>
          <t>남이면 석판리 65-1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82000</v>
      </c>
      <c r="H333" s="4" t="n">
        <v>0</v>
      </c>
      <c r="I333" s="4" t="n">
        <v>1011</v>
      </c>
      <c r="J333" s="4" t="n">
        <v>306</v>
      </c>
      <c r="K333" s="5" t="n">
        <v>268</v>
      </c>
      <c r="L333" s="4" t="n">
        <v>97</v>
      </c>
      <c r="M333" s="4" t="n">
        <v>29</v>
      </c>
      <c r="N333" s="5" t="n">
        <v>2827.6</v>
      </c>
      <c r="O333" s="3" t="inlineStr">
        <is>
          <t>조경 잘되있고 마당 넓은집</t>
        </is>
      </c>
      <c r="P333" s="6">
        <f>HYPERLINK("https://fin.land.naver.com/articles/2653024347", "매물Link")</f>
        <v/>
      </c>
      <c r="Q333" s="6">
        <f>HYPERLINK("https://map.naver.com/p/search/남이면 석판리 65-1", "지도Link")</f>
        <v/>
      </c>
      <c r="R333" s="6">
        <f>HYPERLINK("http://www.eum.go.kr/web/ar/lu/luLandDet.jsp?pnu=4311231034100650001&amp;isNoScr=script&amp;mode=search", "토지이음")</f>
        <v/>
      </c>
      <c r="S333" s="3" t="inlineStr">
        <is>
          <t>대성합동사무소</t>
        </is>
      </c>
      <c r="T333" s="4" t="n">
        <v>1</v>
      </c>
      <c r="U333" s="5" t="n">
        <v>95.90000000000001</v>
      </c>
      <c r="V333" s="4" t="n">
        <v>160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부정형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65-5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60000</v>
      </c>
      <c r="H335" s="4" t="n">
        <v>0</v>
      </c>
      <c r="I335" s="4" t="n">
        <v>460</v>
      </c>
      <c r="J335" s="4" t="n">
        <v>139</v>
      </c>
      <c r="K335" s="5" t="n">
        <v>431.7</v>
      </c>
      <c r="L335" s="4" t="n">
        <v>142</v>
      </c>
      <c r="M335" s="4" t="n">
        <v>43</v>
      </c>
      <c r="N335" s="5" t="n">
        <v>1395.3</v>
      </c>
      <c r="O335" s="3" t="inlineStr">
        <is>
          <t>좋은교회쪽 평지성 전원주택단지</t>
        </is>
      </c>
      <c r="P335" s="6">
        <f>HYPERLINK("https://fin.land.naver.com/articles/2651498254", "매물Link")</f>
        <v/>
      </c>
      <c r="Q335" s="6">
        <f>HYPERLINK("https://map.naver.com/p/search/남이면 석판리 65-5", "지도Link")</f>
        <v/>
      </c>
      <c r="R335" s="6">
        <f>HYPERLINK("http://www.eum.go.kr/web/ar/lu/luLandDet.jsp?pnu=4311231034100650005&amp;isNoScr=script&amp;mode=search", "토지이음")</f>
        <v/>
      </c>
      <c r="S335" s="3" t="inlineStr">
        <is>
          <t>학사</t>
        </is>
      </c>
      <c r="T335" s="4" t="n">
        <v>1</v>
      </c>
      <c r="U335" s="5" t="n">
        <v>94.90000000000001</v>
      </c>
      <c r="V335" s="4" t="n">
        <v>460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자루형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887</v>
      </c>
      <c r="J336" s="4" t="n">
        <v>268</v>
      </c>
      <c r="K336" s="5" t="n">
        <v>242.5</v>
      </c>
      <c r="L336" s="4" t="n">
        <v>99</v>
      </c>
      <c r="M336" s="4" t="n">
        <v>30</v>
      </c>
      <c r="N336" s="5" t="n">
        <v>2166.7</v>
      </c>
      <c r="O336" s="3" t="inlineStr">
        <is>
          <t>남이초등학교앞   전원주택단지</t>
        </is>
      </c>
      <c r="P336" s="6">
        <f>HYPERLINK("https://fin.land.naver.com/articles/2655224441",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금슬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가격조정가능, 단독주택거주하시면서 카페운영 추천</t>
        </is>
      </c>
      <c r="P337" s="6">
        <f>HYPERLINK("https://fin.land.naver.com/articles/2654171088",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명진</t>
        </is>
      </c>
      <c r="T337" s="4" t="n">
        <v>2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5년차준신축,수대리위치좋은2층주택,방3,화장실2,이사협의</t>
        </is>
      </c>
      <c r="P338" s="6">
        <f>HYPERLINK("https://fin.land.naver.com/articles/2651927684",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금호스마트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남이초 인근 두껍게 잘지은2층단독매매,태양광 설치,지하수공사됨.</t>
        </is>
      </c>
      <c r="P342" s="6">
        <f>HYPERLINK("https://fin.land.naver.com/articles/2654414183",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주공그린빌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방4, 화장실4구조, 즉시입주가능, 텃밭 가꾸기 용이함</t>
        </is>
      </c>
      <c r="P343" s="6">
        <f>HYPERLINK("https://fin.land.naver.com/articles/2655099488",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한방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양촌리 161-28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1092</v>
      </c>
      <c r="J346" s="4" t="n">
        <v>330</v>
      </c>
      <c r="K346" s="5" t="n">
        <v>197</v>
      </c>
      <c r="L346" s="4" t="n">
        <v>178</v>
      </c>
      <c r="M346" s="4" t="n">
        <v>54</v>
      </c>
      <c r="N346" s="5" t="n">
        <v>1203.7</v>
      </c>
      <c r="O346" s="3" t="inlineStr">
        <is>
          <t>양촌리 넓은대지 2세대 거주가능 세대분리 막힘없는 뷰</t>
        </is>
      </c>
      <c r="P346" s="6">
        <f>HYPERLINK("https://fin.land.naver.com/articles/2653624358", "매물Link")</f>
        <v/>
      </c>
      <c r="Q346" s="6">
        <f>HYPERLINK("https://map.naver.com/p/search/남이면 양촌리 161-28", "지도Link")</f>
        <v/>
      </c>
      <c r="R346" s="6">
        <f>HYPERLINK("http://www.eum.go.kr/web/ar/lu/luLandDet.jsp?pnu=4311231037101610028&amp;isNoScr=script&amp;mode=search",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65.40000000000001</v>
      </c>
      <c r="V346" s="4" t="n">
        <v>397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245-1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매매</t>
        </is>
      </c>
      <c r="G347" s="4" t="n">
        <v>140000</v>
      </c>
      <c r="H347" s="4" t="n">
        <v>0</v>
      </c>
      <c r="I347" s="4" t="n">
        <v>854</v>
      </c>
      <c r="J347" s="4" t="n">
        <v>258</v>
      </c>
      <c r="K347" s="5" t="n">
        <v>542.6</v>
      </c>
      <c r="L347" s="4" t="n">
        <v>135</v>
      </c>
      <c r="M347" s="4" t="n">
        <v>41</v>
      </c>
      <c r="N347" s="5" t="n">
        <v>3414.6</v>
      </c>
      <c r="O347" s="3" t="inlineStr">
        <is>
          <t>4차선 대로 접한 토지로 철거후 근생부지로 적합함</t>
        </is>
      </c>
      <c r="P347" s="6">
        <f>HYPERLINK("https://fin.land.naver.com/articles/2652139499", "매물Link")</f>
        <v/>
      </c>
      <c r="Q347" s="6">
        <f>HYPERLINK("https://map.naver.com/p/search/남이면 양촌리 245-1", "지도Link")</f>
        <v/>
      </c>
      <c r="R347" s="6">
        <f>HYPERLINK("http://www.eum.go.kr/web/ar/lu/luLandDet.jsp?pnu=4311231037102450001&amp;isNoScr=script&amp;mode=search", "토지이음")</f>
        <v/>
      </c>
      <c r="S347" s="3" t="inlineStr">
        <is>
          <t>청주원</t>
        </is>
      </c>
      <c r="T347" s="4" t="n">
        <v>1</v>
      </c>
      <c r="U347" s="5" t="n">
        <v>116</v>
      </c>
      <c r="V347" s="4" t="n">
        <v>854</v>
      </c>
      <c r="W347" s="3" t="inlineStr">
        <is>
          <t>지정되지않음</t>
        </is>
      </c>
      <c r="X347" s="3" t="inlineStr">
        <is>
          <t>상업기타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중로한면</t>
        </is>
      </c>
    </row>
    <row r="348">
      <c r="A348" s="3" t="inlineStr">
        <is>
          <t>남이면 양촌리 3-16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59000</v>
      </c>
      <c r="H348" s="4" t="n">
        <v>0</v>
      </c>
      <c r="I348" s="4" t="n">
        <v>686</v>
      </c>
      <c r="J348" s="4" t="n">
        <v>208</v>
      </c>
      <c r="K348" s="5" t="n">
        <v>283.7</v>
      </c>
      <c r="L348" s="4" t="n">
        <v>209</v>
      </c>
      <c r="M348" s="4" t="n">
        <v>63</v>
      </c>
      <c r="N348" s="5" t="n">
        <v>936.5</v>
      </c>
      <c r="O348" s="3" t="inlineStr">
        <is>
          <t>분평동 3분거리 생활편리하고 투자가치 있는 가성비 고급 전원주택</t>
        </is>
      </c>
      <c r="P348" s="6">
        <f>HYPERLINK("https://fin.land.naver.com/articles/2654659488", "매물Link")</f>
        <v/>
      </c>
      <c r="Q348" s="6">
        <f>HYPERLINK("https://map.naver.com/p/search/남이면 양촌리 3-16", "지도Link")</f>
        <v/>
      </c>
      <c r="R348" s="6">
        <f>HYPERLINK("http://www.eum.go.kr/web/ar/lu/luLandDet.jsp?pnu=4311231037100030016&amp;isNoScr=script&amp;mode=search", "토지이음")</f>
        <v/>
      </c>
      <c r="S348" s="3" t="inlineStr">
        <is>
          <t>세종</t>
        </is>
      </c>
      <c r="T348" s="4" t="n">
        <v>1</v>
      </c>
      <c r="U348" s="5" t="n">
        <v>101.6</v>
      </c>
      <c r="V348" s="4" t="n">
        <v>686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양촌리 3-7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55000</v>
      </c>
      <c r="H349" s="4" t="n">
        <v>0</v>
      </c>
      <c r="I349" s="4" t="n">
        <v>512</v>
      </c>
      <c r="J349" s="4" t="n">
        <v>155</v>
      </c>
      <c r="K349" s="5" t="n">
        <v>354.8</v>
      </c>
      <c r="L349" s="4" t="n">
        <v>99</v>
      </c>
      <c r="M349" s="4" t="n">
        <v>30</v>
      </c>
      <c r="N349" s="5" t="n">
        <v>1833.3</v>
      </c>
      <c r="O349" s="3" t="inlineStr">
        <is>
          <t>양촌리 가장 저렴한 매물</t>
        </is>
      </c>
      <c r="P349" s="6">
        <f>HYPERLINK("https://fin.land.naver.com/articles/2654273331", "매물Link")</f>
        <v/>
      </c>
      <c r="Q349" s="6">
        <f>HYPERLINK("https://map.naver.com/p/search/남이면 양촌리 3-7", "지도Link")</f>
        <v/>
      </c>
      <c r="R349" s="6">
        <f>HYPERLINK("http://www.eum.go.kr/web/ar/lu/luLandDet.jsp?pnu=4311231037100030007&amp;isNoScr=script&amp;mode=search",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103.6</v>
      </c>
      <c r="V349" s="4" t="n">
        <v>512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세로각지(가)</t>
        </is>
      </c>
    </row>
    <row r="350">
      <c r="A350" s="3" t="inlineStr">
        <is>
          <t>남이면 양촌리 392-1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63000</v>
      </c>
      <c r="H350" s="4" t="n">
        <v>0</v>
      </c>
      <c r="I350" s="4" t="n">
        <v>660</v>
      </c>
      <c r="J350" s="4" t="n">
        <v>200</v>
      </c>
      <c r="K350" s="5" t="n">
        <v>315</v>
      </c>
      <c r="L350" s="4" t="n">
        <v>122</v>
      </c>
      <c r="M350" s="4" t="n">
        <v>37</v>
      </c>
      <c r="N350" s="5" t="n">
        <v>1702.7</v>
      </c>
      <c r="O350" s="3" t="inlineStr">
        <is>
          <t>nan</t>
        </is>
      </c>
      <c r="P350" s="6">
        <f>HYPERLINK("https://fin.land.naver.com/articles/2654530510", "매물Link")</f>
        <v/>
      </c>
      <c r="Q350" s="6">
        <f>HYPERLINK("https://map.naver.com/p/search/남이면 양촌리 392-1", "지도Link")</f>
        <v/>
      </c>
      <c r="R350" s="6">
        <f>HYPERLINK("http://www.eum.go.kr/web/ar/lu/luLandDet.jsp?pnu=4311231037103920001&amp;isNoScr=script&amp;mode=search", "토지이음")</f>
        <v/>
      </c>
      <c r="S350" s="3" t="inlineStr">
        <is>
          <t>에이스</t>
        </is>
      </c>
      <c r="T350" s="4" t="n">
        <v>1</v>
      </c>
      <c r="U350" s="5" t="n">
        <v>80.3</v>
      </c>
      <c r="V350" s="4" t="n">
        <v>660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양촌리 392-2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46000</v>
      </c>
      <c r="H351" s="4" t="n">
        <v>0</v>
      </c>
      <c r="I351" s="4" t="n">
        <v>640</v>
      </c>
      <c r="J351" s="4" t="n">
        <v>194</v>
      </c>
      <c r="K351" s="5" t="n">
        <v>237.1</v>
      </c>
      <c r="L351" s="4" t="n">
        <v>122</v>
      </c>
      <c r="M351" s="4" t="n">
        <v>37</v>
      </c>
      <c r="N351" s="5" t="n">
        <v>1243.2</v>
      </c>
      <c r="O351" s="3" t="inlineStr">
        <is>
          <t>청주 시내 접근성 우수한 양촌리 전원주택</t>
        </is>
      </c>
      <c r="P351" s="6">
        <f>HYPERLINK("https://fin.land.naver.com/articles/2652452047", "매물Link")</f>
        <v/>
      </c>
      <c r="Q351" s="6">
        <f>HYPERLINK("https://map.naver.com/p/search/남이면 양촌리 392-2", "지도Link")</f>
        <v/>
      </c>
      <c r="R351" s="6">
        <f>HYPERLINK("http://www.eum.go.kr/web/ar/lu/luLandDet.jsp?pnu=4311231037103920002&amp;isNoScr=script&amp;mode=search", "토지이음")</f>
        <v/>
      </c>
      <c r="S351" s="3" t="inlineStr">
        <is>
          <t>좋은선택</t>
        </is>
      </c>
      <c r="T351" s="4" t="n">
        <v>1</v>
      </c>
      <c r="U351" s="5" t="n">
        <v>83.59999999999999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세로각지(가)</t>
        </is>
      </c>
    </row>
    <row r="352">
      <c r="A352" s="3" t="inlineStr">
        <is>
          <t>남이면 외천리 343</t>
        </is>
      </c>
      <c r="B352" s="3" t="inlineStr">
        <is>
          <t>농림지역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36000</v>
      </c>
      <c r="H352" s="4" t="n">
        <v>0</v>
      </c>
      <c r="I352" s="4" t="n">
        <v>660</v>
      </c>
      <c r="J352" s="4" t="n">
        <v>200</v>
      </c>
      <c r="K352" s="5" t="n">
        <v>180</v>
      </c>
      <c r="L352" s="4" t="n">
        <v>97</v>
      </c>
      <c r="M352" s="4" t="n">
        <v>29</v>
      </c>
      <c r="N352" s="5" t="n">
        <v>1241.4</v>
      </c>
      <c r="O352" s="3" t="inlineStr">
        <is>
          <t>외천리 잘관리된 단독주택 진입로 좋아요,남청주ic,부강물류기지 가까움.</t>
        </is>
      </c>
      <c r="P352" s="6">
        <f>HYPERLINK("https://fin.land.naver.com/articles/2651517078", "매물Link")</f>
        <v/>
      </c>
      <c r="Q352" s="6">
        <f>HYPERLINK("https://map.naver.com/p/search/남이면 외천리 343", "지도Link")</f>
        <v/>
      </c>
      <c r="R352" s="6">
        <f>HYPERLINK("http://www.eum.go.kr/web/ar/lu/luLandDet.jsp?pnu=4311231022103430000&amp;isNoScr=script&amp;mode=search",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48.4</v>
      </c>
      <c r="V352" s="4" t="n">
        <v>660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외천리 343-2</t>
        </is>
      </c>
      <c r="B353" s="3" t="inlineStr">
        <is>
          <t>농림지역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660</v>
      </c>
      <c r="J353" s="4" t="n">
        <v>200</v>
      </c>
      <c r="K353" s="5" t="n">
        <v>175</v>
      </c>
      <c r="L353" s="4" t="n">
        <v>131</v>
      </c>
      <c r="M353" s="4" t="n">
        <v>40</v>
      </c>
      <c r="N353" s="5" t="n">
        <v>875</v>
      </c>
      <c r="O353" s="3" t="inlineStr">
        <is>
          <t>프라임공인 외천리 전원주택 조용하고 공기좋은 고속국도인접</t>
        </is>
      </c>
      <c r="P353" s="6">
        <f>HYPERLINK("https://fin.land.naver.com/articles/2652434203", "매물Link")</f>
        <v/>
      </c>
      <c r="Q353" s="6">
        <f>HYPERLINK("https://map.naver.com/p/search/남이면 외천리 343-2", "지도Link")</f>
        <v/>
      </c>
      <c r="R353" s="6">
        <f>HYPERLINK("http://www.eum.go.kr/web/ar/lu/luLandDet.jsp?pnu=4311231022103430002&amp;isNoScr=script&amp;mode=search", "토지이음")</f>
        <v/>
      </c>
      <c r="S353" s="3" t="inlineStr">
        <is>
          <t>프라임</t>
        </is>
      </c>
      <c r="T353" s="4" t="n">
        <v>1</v>
      </c>
      <c r="U353" s="5" t="n">
        <v>48.4</v>
      </c>
      <c r="V353" s="4" t="n">
        <v>660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외천리 469-6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42000</v>
      </c>
      <c r="H354" s="4" t="n">
        <v>0</v>
      </c>
      <c r="I354" s="4" t="n">
        <v>1345</v>
      </c>
      <c r="J354" s="4" t="n">
        <v>407</v>
      </c>
      <c r="K354" s="5" t="n">
        <v>103.2</v>
      </c>
      <c r="L354" s="4" t="n">
        <v>149</v>
      </c>
      <c r="M354" s="4" t="n">
        <v>45</v>
      </c>
      <c r="N354" s="5" t="n">
        <v>933.3</v>
      </c>
      <c r="O354" s="3" t="inlineStr">
        <is>
          <t>전원주택텃밭 같이 매매 합니다.</t>
        </is>
      </c>
      <c r="P354" s="6">
        <f>HYPERLINK("https://fin.land.naver.com/articles/2650991002", "매물Link")</f>
        <v/>
      </c>
      <c r="Q354" s="6">
        <f>HYPERLINK("https://map.naver.com/p/search/남이면 외천리 469-6", "지도Link")</f>
        <v/>
      </c>
      <c r="R354" s="6">
        <f>HYPERLINK("http://www.eum.go.kr/web/ar/lu/luLandDet.jsp?pnu=4311231022104690006&amp;isNoScr=script&amp;mode=search", "토지이음")</f>
        <v/>
      </c>
      <c r="S354" s="3" t="inlineStr">
        <is>
          <t>청주솔로몬합동</t>
        </is>
      </c>
      <c r="T354" s="4" t="n">
        <v>1</v>
      </c>
      <c r="U354" s="5" t="n">
        <v>43.2</v>
      </c>
      <c r="V354" s="4" t="n">
        <v>641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615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25000</v>
      </c>
      <c r="H355" s="4" t="n">
        <v>0</v>
      </c>
      <c r="I355" s="4" t="n">
        <v>705</v>
      </c>
      <c r="J355" s="4" t="n">
        <v>213</v>
      </c>
      <c r="K355" s="5" t="n">
        <v>117.4</v>
      </c>
      <c r="L355" s="4" t="n">
        <v>77</v>
      </c>
      <c r="M355" s="4" t="n">
        <v>23</v>
      </c>
      <c r="N355" s="5" t="n">
        <v>1087</v>
      </c>
      <c r="O355" s="3" t="inlineStr">
        <is>
          <t>오래된주택  땅값만 받고 팔아요</t>
        </is>
      </c>
      <c r="P355" s="6">
        <f>HYPERLINK("https://fin.land.naver.com/articles/2652233511", "매물Link")</f>
        <v/>
      </c>
      <c r="Q355" s="6">
        <f>HYPERLINK("https://map.naver.com/p/search/남이면 외천리 615", "지도Link")</f>
        <v/>
      </c>
      <c r="R355" s="6">
        <f>HYPERLINK("http://www.eum.go.kr/web/ar/lu/luLandDet.jsp?pnu=4311231022106150000&amp;isNoScr=script&amp;mode=search", "토지이음")</f>
        <v/>
      </c>
      <c r="S355" s="3" t="inlineStr">
        <is>
          <t>김창수</t>
        </is>
      </c>
      <c r="T355" s="4" t="n">
        <v>1</v>
      </c>
      <c r="U355" s="5" t="n">
        <v>60.6</v>
      </c>
      <c r="V355" s="4" t="n">
        <v>298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자루형</t>
        </is>
      </c>
      <c r="AA355" s="3" t="inlineStr">
        <is>
          <t>세로한면(가)</t>
        </is>
      </c>
    </row>
    <row r="356">
      <c r="A356" s="3" t="inlineStr">
        <is>
          <t>남이면 척북리 74-7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6</t>
        </is>
      </c>
      <c r="E356" s="3" t="inlineStr">
        <is>
          <t>연립</t>
        </is>
      </c>
      <c r="F356" s="3" t="inlineStr">
        <is>
          <t>월세</t>
        </is>
      </c>
      <c r="G356" s="4" t="n">
        <v>500</v>
      </c>
      <c r="H356" s="4" t="n">
        <v>30</v>
      </c>
      <c r="I356" s="4" t="n">
        <v>76</v>
      </c>
      <c r="J356" s="4" t="n">
        <v>23</v>
      </c>
      <c r="K356" s="5" t="n">
        <v>1.3</v>
      </c>
      <c r="L356" s="4" t="n">
        <v>59</v>
      </c>
      <c r="M356" s="4" t="n">
        <v>18</v>
      </c>
      <c r="N356" s="5" t="n">
        <v>1.7</v>
      </c>
      <c r="O356" s="3" t="inlineStr">
        <is>
          <t>햇빛 잘들고 앞전망 산쪽으로 조용하고 공기좋은 살기좋은집</t>
        </is>
      </c>
      <c r="P356" s="6">
        <f>HYPERLINK("https://fin.land.naver.com/articles/2655757795", "매물Link")</f>
        <v/>
      </c>
      <c r="Q356" s="6">
        <f>HYPERLINK("https://map.naver.com/p/search/남이면 척북리 74-7", "지도Link")</f>
        <v/>
      </c>
      <c r="R356" s="6">
        <f>HYPERLINK("http://www.eum.go.kr/web/ar/lu/luLandDet.jsp?pnu=4311231024100740007&amp;isNoScr=script&amp;mode=search", "토지이음")</f>
        <v/>
      </c>
      <c r="S356" s="3" t="inlineStr">
        <is>
          <t>신두꺼비</t>
        </is>
      </c>
      <c r="T356" s="4" t="n">
        <v>2</v>
      </c>
      <c r="U356" s="5" t="n">
        <v>89.5</v>
      </c>
      <c r="V356" s="4" t="n">
        <v>24362</v>
      </c>
      <c r="W356" s="3" t="inlineStr">
        <is>
          <t>지정되지않음</t>
        </is>
      </c>
      <c r="X356" s="3" t="inlineStr">
        <is>
          <t>아파트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소로한면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7</t>
        </is>
      </c>
      <c r="E357" s="3" t="inlineStr">
        <is>
          <t>연립</t>
        </is>
      </c>
      <c r="F357" s="3" t="inlineStr">
        <is>
          <t>매매</t>
        </is>
      </c>
      <c r="G357" s="4" t="n">
        <v>2200</v>
      </c>
      <c r="H357" s="4" t="n">
        <v>0</v>
      </c>
      <c r="I357" s="4" t="n">
        <v>44</v>
      </c>
      <c r="J357" s="4" t="n">
        <v>13</v>
      </c>
      <c r="K357" s="5" t="n">
        <v>169.2</v>
      </c>
      <c r="L357" s="4" t="n">
        <v>36</v>
      </c>
      <c r="M357" s="4" t="n">
        <v>11</v>
      </c>
      <c r="N357" s="5" t="n">
        <v>200</v>
      </c>
      <c r="O357" s="3" t="inlineStr">
        <is>
          <t>척북리 삼포그린힐 투베이 월세 안고 매매 희망</t>
        </is>
      </c>
      <c r="P357" s="6">
        <f>HYPERLINK("https://fin.land.naver.com/articles/2656032355",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보배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척산리 109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47000</v>
      </c>
      <c r="H358" s="4" t="n">
        <v>0</v>
      </c>
      <c r="I358" s="4" t="n">
        <v>2794</v>
      </c>
      <c r="J358" s="4" t="n">
        <v>845</v>
      </c>
      <c r="K358" s="5" t="n">
        <v>55.6</v>
      </c>
      <c r="L358" s="4" t="n">
        <v>189</v>
      </c>
      <c r="M358" s="4" t="n">
        <v>57</v>
      </c>
      <c r="N358" s="5" t="n">
        <v>824.6</v>
      </c>
      <c r="O358" s="3" t="inlineStr">
        <is>
          <t>청주시내와 접근성 좋은 위치 정원이 크고 잘 조성된 전원주택</t>
        </is>
      </c>
      <c r="P358" s="6">
        <f>HYPERLINK("https://fin.land.naver.com/articles/2653851732", "매물Link")</f>
        <v/>
      </c>
      <c r="Q358" s="6">
        <f>HYPERLINK("https://map.naver.com/p/search/남이면 척산리 109", "지도Link")</f>
        <v/>
      </c>
      <c r="R358" s="6">
        <f>HYPERLINK("http://www.eum.go.kr/web/ar/lu/luLandDet.jsp?pnu=4311231021101090000&amp;isNoScr=script&amp;mode=search", "토지이음")</f>
        <v/>
      </c>
      <c r="S358" s="3" t="inlineStr">
        <is>
          <t>좋은선택</t>
        </is>
      </c>
      <c r="T358" s="4" t="n">
        <v>1</v>
      </c>
      <c r="U358" s="5" t="n">
        <v>42.3</v>
      </c>
      <c r="V358" s="4" t="n">
        <v>581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세로한면(불)</t>
        </is>
      </c>
    </row>
    <row r="359">
      <c r="A359" s="3" t="inlineStr">
        <is>
          <t>남이면 척산리 514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35000</v>
      </c>
      <c r="H359" s="4" t="n">
        <v>0</v>
      </c>
      <c r="I359" s="4" t="n">
        <v>846</v>
      </c>
      <c r="J359" s="4" t="n">
        <v>256</v>
      </c>
      <c r="K359" s="5" t="n">
        <v>136.7</v>
      </c>
      <c r="L359" s="4" t="n">
        <v>161</v>
      </c>
      <c r="M359" s="4" t="n">
        <v>49</v>
      </c>
      <c r="N359" s="5" t="n">
        <v>714.3</v>
      </c>
      <c r="O359" s="3" t="inlineStr">
        <is>
          <t>척산 단독주택, 조용하고 한적한 집, 현재세입자거주중</t>
        </is>
      </c>
      <c r="P359" s="6">
        <f>HYPERLINK("https://fin.land.naver.com/articles/2654158226", "매물Link")</f>
        <v/>
      </c>
      <c r="Q359" s="6">
        <f>HYPERLINK("https://map.naver.com/p/search/남이면 척산리 514", "지도Link")</f>
        <v/>
      </c>
      <c r="R359" s="6">
        <f>HYPERLINK("http://www.eum.go.kr/web/ar/lu/luLandDet.jsp?pnu=4311231021105140000&amp;isNoScr=script&amp;mode=search", "토지이음")</f>
        <v/>
      </c>
      <c r="S359" s="3" t="inlineStr">
        <is>
          <t>금손</t>
        </is>
      </c>
      <c r="T359" s="4" t="n">
        <v>1</v>
      </c>
      <c r="U359" s="5" t="n">
        <v>58.5</v>
      </c>
      <c r="V359" s="4" t="n">
        <v>846</v>
      </c>
      <c r="W359" s="3" t="inlineStr">
        <is>
          <t>보전녹지지역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척산리 533-3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20000</v>
      </c>
      <c r="H360" s="4" t="n">
        <v>0</v>
      </c>
      <c r="I360" s="4" t="n">
        <v>348</v>
      </c>
      <c r="J360" s="4" t="n">
        <v>105</v>
      </c>
      <c r="K360" s="5" t="n">
        <v>190.5</v>
      </c>
      <c r="L360" s="4" t="n">
        <v>102</v>
      </c>
      <c r="M360" s="4" t="n">
        <v>31</v>
      </c>
      <c r="N360" s="5" t="n">
        <v>645.2</v>
      </c>
      <c r="O360" s="3" t="inlineStr">
        <is>
          <t>마당이 넓은 단독주택. 주차편리. 입주협의 가능</t>
        </is>
      </c>
      <c r="P360" s="6">
        <f>HYPERLINK("https://fin.land.naver.com/articles/2652697791", "매물Link")</f>
        <v/>
      </c>
      <c r="Q360" s="6">
        <f>HYPERLINK("https://map.naver.com/p/search/남이면 척산리 533-3", "지도Link")</f>
        <v/>
      </c>
      <c r="R360" s="6">
        <f>HYPERLINK("http://www.eum.go.kr/web/ar/lu/luLandDet.jsp?pnu=4311231021105330003&amp;isNoScr=script&amp;mode=search", "토지이음")</f>
        <v/>
      </c>
      <c r="S360" s="3" t="inlineStr">
        <is>
          <t>태산</t>
        </is>
      </c>
      <c r="T360" s="4" t="n">
        <v>1</v>
      </c>
      <c r="U360" s="5" t="n">
        <v>54.9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남이면 팔봉리 100-3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32000</v>
      </c>
      <c r="H361" s="4" t="n">
        <v>0</v>
      </c>
      <c r="I361" s="4" t="n">
        <v>483</v>
      </c>
      <c r="J361" s="4" t="n">
        <v>146</v>
      </c>
      <c r="K361" s="5" t="n">
        <v>219.2</v>
      </c>
      <c r="L361" s="4" t="n">
        <v>169</v>
      </c>
      <c r="M361" s="4" t="n">
        <v>51</v>
      </c>
      <c r="N361" s="5" t="n">
        <v>627.5</v>
      </c>
      <c r="O361" s="3" t="inlineStr">
        <is>
          <t>남이면 팔봉리 전원주택</t>
        </is>
      </c>
      <c r="P361" s="6">
        <f>HYPERLINK("https://fin.land.naver.com/articles/2653258726", "매물Link")</f>
        <v/>
      </c>
      <c r="Q361" s="6">
        <f>HYPERLINK("https://map.naver.com/p/search/남이면 팔봉리 100-3", "지도Link")</f>
        <v/>
      </c>
      <c r="R361" s="6">
        <f>HYPERLINK("http://www.eum.go.kr/web/ar/lu/luLandDet.jsp?pnu=4311231030101000003&amp;isNoScr=script&amp;mode=search", "토지이음")</f>
        <v/>
      </c>
      <c r="S361" s="3" t="inlineStr">
        <is>
          <t>중흥</t>
        </is>
      </c>
      <c r="T361" s="4" t="n">
        <v>1</v>
      </c>
      <c r="U361" s="5" t="n">
        <v>46.1</v>
      </c>
      <c r="V361" s="4" t="n">
        <v>496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팔봉리 174-3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40000</v>
      </c>
      <c r="H362" s="4" t="n">
        <v>0</v>
      </c>
      <c r="I362" s="4" t="n">
        <v>559</v>
      </c>
      <c r="J362" s="4" t="n">
        <v>169</v>
      </c>
      <c r="K362" s="5" t="n">
        <v>236.7</v>
      </c>
      <c r="L362" s="4" t="n">
        <v>84</v>
      </c>
      <c r="M362" s="4" t="n">
        <v>25</v>
      </c>
      <c r="N362" s="5" t="n">
        <v>1600</v>
      </c>
      <c r="O362" s="3" t="inlineStr">
        <is>
          <t>접근성 좋음 남향배치 막힘없는 전망</t>
        </is>
      </c>
      <c r="P362" s="6">
        <f>HYPERLINK("https://fin.land.naver.com/articles/2654267569", "매물Link")</f>
        <v/>
      </c>
      <c r="Q362" s="6">
        <f>HYPERLINK("https://map.naver.com/p/search/남이면 팔봉리 174-3", "지도Link")</f>
        <v/>
      </c>
      <c r="R362" s="6">
        <f>HYPERLINK("http://www.eum.go.kr/web/ar/lu/luLandDet.jsp?pnu=4311231030101740003&amp;isNoScr=script&amp;mode=search",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41.5</v>
      </c>
      <c r="V362" s="4" t="n">
        <v>559</v>
      </c>
      <c r="W362" s="3" t="inlineStr">
        <is>
          <t>보전녹지지역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남이면 팔봉리 178-6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40000</v>
      </c>
      <c r="H363" s="4" t="n">
        <v>0</v>
      </c>
      <c r="I363" s="4" t="n">
        <v>600</v>
      </c>
      <c r="J363" s="4" t="n">
        <v>182</v>
      </c>
      <c r="K363" s="5" t="n">
        <v>219.8</v>
      </c>
      <c r="L363" s="4" t="n">
        <v>84</v>
      </c>
      <c r="M363" s="4" t="n">
        <v>25</v>
      </c>
      <c r="N363" s="5" t="n">
        <v>1600</v>
      </c>
      <c r="O363" s="3" t="inlineStr">
        <is>
          <t>맑고 쾌적한 청정지역의 아담한 전원주택</t>
        </is>
      </c>
      <c r="P363" s="6">
        <f>HYPERLINK("https://fin.land.naver.com/articles/2656251096", "매물Link")</f>
        <v/>
      </c>
      <c r="Q363" s="6">
        <f>HYPERLINK("https://map.naver.com/p/search/남이면 팔봉리 178-6", "지도Link")</f>
        <v/>
      </c>
      <c r="R363" s="6">
        <f>HYPERLINK("http://www.eum.go.kr/web/ar/lu/luLandDet.jsp?pnu=4311231030101780006&amp;isNoScr=script&amp;mode=search", "토지이음")</f>
        <v/>
      </c>
      <c r="S363" s="3" t="inlineStr">
        <is>
          <t>마루</t>
        </is>
      </c>
      <c r="T363" s="4" t="n">
        <v>1</v>
      </c>
      <c r="U363" s="5" t="n">
        <v>43.2</v>
      </c>
      <c r="V363" s="4" t="n">
        <v>600</v>
      </c>
      <c r="W363" s="3" t="inlineStr">
        <is>
          <t>보전녹지지역</t>
        </is>
      </c>
      <c r="X363" s="3" t="inlineStr">
        <is>
          <t>주거나지</t>
        </is>
      </c>
      <c r="Y363" s="3" t="inlineStr">
        <is>
          <t>완경사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남이면 팔봉리 218-10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48000</v>
      </c>
      <c r="H364" s="4" t="n">
        <v>0</v>
      </c>
      <c r="I364" s="4" t="n">
        <v>702</v>
      </c>
      <c r="J364" s="4" t="n">
        <v>212</v>
      </c>
      <c r="K364" s="5" t="n">
        <v>226.4</v>
      </c>
      <c r="L364" s="4" t="n">
        <v>116</v>
      </c>
      <c r="M364" s="4" t="n">
        <v>35</v>
      </c>
      <c r="N364" s="5" t="n">
        <v>1371.4</v>
      </c>
      <c r="O364" s="3" t="inlineStr">
        <is>
          <t>정남향의 단층 단독주택 마당의 잔듸와 공연장 등 전원생활의 최적화</t>
        </is>
      </c>
      <c r="P364" s="6">
        <f>HYPERLINK("https://fin.land.naver.com/articles/2654473896", "매물Link")</f>
        <v/>
      </c>
      <c r="Q364" s="6">
        <f>HYPERLINK("https://map.naver.com/p/search/남이면 팔봉리 218-10", "지도Link")</f>
        <v/>
      </c>
      <c r="R364" s="6">
        <f>HYPERLINK("http://www.eum.go.kr/web/ar/lu/luLandDet.jsp?pnu=4311231030102180010&amp;isNoScr=script&amp;mode=search", "토지이음")</f>
        <v/>
      </c>
      <c r="S364" s="3" t="inlineStr">
        <is>
          <t>복대시원</t>
        </is>
      </c>
      <c r="T364" s="4" t="n">
        <v>1</v>
      </c>
      <c r="U364" s="5" t="n">
        <v>44.8</v>
      </c>
      <c r="V364" s="4" t="n">
        <v>702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218-20</t>
        </is>
      </c>
      <c r="B365" s="3" t="inlineStr">
        <is>
          <t>보전관리지역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43000</v>
      </c>
      <c r="H365" s="4" t="n">
        <v>0</v>
      </c>
      <c r="I365" s="4" t="n">
        <v>631</v>
      </c>
      <c r="J365" s="4" t="n">
        <v>191</v>
      </c>
      <c r="K365" s="5" t="n">
        <v>225.1</v>
      </c>
      <c r="L365" s="4" t="n">
        <v>99</v>
      </c>
      <c r="M365" s="4" t="n">
        <v>30</v>
      </c>
      <c r="N365" s="5" t="n">
        <v>1433.3</v>
      </c>
      <c r="O365" s="3" t="inlineStr">
        <is>
          <t>전원주택촌,조용함과 공기가 맑고 텃밭까지 준비된 정서생활에 딱 좋은집</t>
        </is>
      </c>
      <c r="P365" s="6">
        <f>HYPERLINK("https://fin.land.naver.com/articles/2654917884", "매물Link")</f>
        <v/>
      </c>
      <c r="Q365" s="6">
        <f>HYPERLINK("https://map.naver.com/p/search/남이면 팔봉리 218-20", "지도Link")</f>
        <v/>
      </c>
      <c r="R365" s="6">
        <f>HYPERLINK("http://www.eum.go.kr/web/ar/lu/luLandDet.jsp?pnu=4311231030102180020&amp;isNoScr=script&amp;mode=search", "토지이음")</f>
        <v/>
      </c>
      <c r="S365" s="3" t="inlineStr">
        <is>
          <t>복대시원</t>
        </is>
      </c>
      <c r="T365" s="4" t="n">
        <v>1</v>
      </c>
      <c r="U365" s="5" t="n">
        <v>36</v>
      </c>
      <c r="V365" s="4" t="n">
        <v>631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218-3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매매</t>
        </is>
      </c>
      <c r="G366" s="4" t="n">
        <v>30000</v>
      </c>
      <c r="H366" s="4" t="n">
        <v>0</v>
      </c>
      <c r="I366" s="4" t="n">
        <v>714</v>
      </c>
      <c r="J366" s="4" t="n">
        <v>216</v>
      </c>
      <c r="K366" s="5" t="n">
        <v>138.9</v>
      </c>
      <c r="L366" s="4" t="n">
        <v>136</v>
      </c>
      <c r="M366" s="4" t="n">
        <v>41</v>
      </c>
      <c r="N366" s="5" t="n">
        <v>731.7</v>
      </c>
      <c r="O366" s="3" t="inlineStr">
        <is>
          <t>팔봉리 예쁜 단독주택 즉시입주 가능 내부수리 필요</t>
        </is>
      </c>
      <c r="P366" s="6">
        <f>HYPERLINK("https://fin.land.naver.com/articles/2654840590", "매물Link")</f>
        <v/>
      </c>
      <c r="Q366" s="6">
        <f>HYPERLINK("https://map.naver.com/p/search/남이면 팔봉리 218-3", "지도Link")</f>
        <v/>
      </c>
      <c r="R366" s="6">
        <f>HYPERLINK("http://www.eum.go.kr/web/ar/lu/luLandDet.jsp?pnu=4311231030102180003&amp;isNoScr=script&amp;mode=search", "토지이음")</f>
        <v/>
      </c>
      <c r="S366" s="3" t="inlineStr">
        <is>
          <t>복터</t>
        </is>
      </c>
      <c r="T366" s="4" t="n">
        <v>1</v>
      </c>
      <c r="U366" s="5" t="n">
        <v>37.5</v>
      </c>
      <c r="V366" s="4" t="n">
        <v>714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세로장방</t>
        </is>
      </c>
      <c r="AA366" s="3" t="inlineStr">
        <is>
          <t>세로한면(가)</t>
        </is>
      </c>
    </row>
    <row r="367">
      <c r="A367" s="3" t="inlineStr">
        <is>
          <t>남이면 팔봉리 218-30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50000</v>
      </c>
      <c r="H367" s="4" t="n">
        <v>0</v>
      </c>
      <c r="I367" s="4" t="n">
        <v>733</v>
      </c>
      <c r="J367" s="4" t="n">
        <v>222</v>
      </c>
      <c r="K367" s="5" t="n">
        <v>225.2</v>
      </c>
      <c r="L367" s="4" t="n">
        <v>98</v>
      </c>
      <c r="M367" s="4" t="n">
        <v>30</v>
      </c>
      <c r="N367" s="5" t="n">
        <v>1666.7</v>
      </c>
      <c r="O367" s="3" t="inlineStr">
        <is>
          <t>팔봉리 신축급 전원주택 매매  즉시입주</t>
        </is>
      </c>
      <c r="P367" s="6">
        <f>HYPERLINK("https://fin.land.naver.com/articles/2655403630", "매물Link")</f>
        <v/>
      </c>
      <c r="Q367" s="6">
        <f>HYPERLINK("https://map.naver.com/p/search/남이면 팔봉리 218-30", "지도Link")</f>
        <v/>
      </c>
      <c r="R367" s="6">
        <f>HYPERLINK("http://www.eum.go.kr/web/ar/lu/luLandDet.jsp?pnu=4311231030102180030&amp;isNoScr=script&amp;mode=search", "토지이음")</f>
        <v/>
      </c>
      <c r="S367" s="3" t="inlineStr">
        <is>
          <t>금호사랑</t>
        </is>
      </c>
      <c r="T367" s="4" t="n">
        <v>1</v>
      </c>
      <c r="U367" s="5" t="n">
        <v>42.1</v>
      </c>
      <c r="V367" s="4" t="n">
        <v>733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팔봉리 218-30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50000</v>
      </c>
      <c r="H368" s="4" t="n">
        <v>0</v>
      </c>
      <c r="I368" s="4" t="n">
        <v>733</v>
      </c>
      <c r="J368" s="4" t="n">
        <v>222</v>
      </c>
      <c r="K368" s="5" t="n">
        <v>225.2</v>
      </c>
      <c r="L368" s="4" t="n">
        <v>98</v>
      </c>
      <c r="M368" s="4" t="n">
        <v>30</v>
      </c>
      <c r="N368" s="5" t="n">
        <v>1666.7</v>
      </c>
      <c r="O368" s="3" t="inlineStr">
        <is>
          <t>팔봉리 신축급 전원주택 매매</t>
        </is>
      </c>
      <c r="P368" s="6">
        <f>HYPERLINK("https://fin.land.naver.com/articles/2655408824", "매물Link")</f>
        <v/>
      </c>
      <c r="Q368" s="6">
        <f>HYPERLINK("https://map.naver.com/p/search/남이면 팔봉리 218-30", "지도Link")</f>
        <v/>
      </c>
      <c r="R368" s="6">
        <f>HYPERLINK("http://www.eum.go.kr/web/ar/lu/luLandDet.jsp?pnu=4311231030102180030&amp;isNoScr=script&amp;mode=search", "토지이음")</f>
        <v/>
      </c>
      <c r="S368" s="3" t="inlineStr">
        <is>
          <t>금호사랑</t>
        </is>
      </c>
      <c r="T368" s="4" t="n">
        <v>2</v>
      </c>
      <c r="U368" s="5" t="n">
        <v>42.1</v>
      </c>
      <c r="V368" s="4" t="n">
        <v>733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218-44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533</v>
      </c>
      <c r="J369" s="4" t="n">
        <v>161</v>
      </c>
      <c r="K369" s="5" t="n">
        <v>279.5</v>
      </c>
      <c r="L369" s="4" t="n">
        <v>181</v>
      </c>
      <c r="M369" s="4" t="n">
        <v>55</v>
      </c>
      <c r="N369" s="5" t="n">
        <v>818.2</v>
      </c>
      <c r="O369" s="3" t="inlineStr">
        <is>
          <t>4년차. 예쁜정원있슴.2층전원주택.주변이 전원주택지.지하주차장이1층높</t>
        </is>
      </c>
      <c r="P369" s="6">
        <f>HYPERLINK("https://fin.land.naver.com/articles/2652005640", "매물Link")</f>
        <v/>
      </c>
      <c r="Q369" s="6">
        <f>HYPERLINK("https://map.naver.com/p/search/남이면 팔봉리 218-44", "지도Link")</f>
        <v/>
      </c>
      <c r="R369" s="6">
        <f>HYPERLINK("http://www.eum.go.kr/web/ar/lu/luLandDet.jsp?pnu=4311231030102180044&amp;isNoScr=script&amp;mode=search", "토지이음")</f>
        <v/>
      </c>
      <c r="S369" s="3" t="inlineStr">
        <is>
          <t>정은경</t>
        </is>
      </c>
      <c r="T369" s="4" t="n">
        <v>1</v>
      </c>
      <c r="U369" s="5" t="n">
        <v>41.6</v>
      </c>
      <c r="V369" s="4" t="n">
        <v>533</v>
      </c>
      <c r="W369" s="3" t="inlineStr">
        <is>
          <t>보전관리지역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팔봉리 39-42</t>
        </is>
      </c>
      <c r="B370" s="3" t="inlineStr">
        <is>
          <t>보전녹지지역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95000</v>
      </c>
      <c r="H370" s="4" t="n">
        <v>0</v>
      </c>
      <c r="I370" s="4" t="n">
        <v>897</v>
      </c>
      <c r="J370" s="4" t="n">
        <v>271</v>
      </c>
      <c r="K370" s="5" t="n">
        <v>350.6</v>
      </c>
      <c r="L370" s="4" t="n">
        <v>218</v>
      </c>
      <c r="M370" s="4" t="n">
        <v>66</v>
      </c>
      <c r="N370" s="5" t="n">
        <v>1439.4</v>
      </c>
      <c r="O370" s="3" t="inlineStr">
        <is>
          <t>남이면 팔봉리 전원주택 매매</t>
        </is>
      </c>
      <c r="P370" s="6">
        <f>HYPERLINK("https://fin.land.naver.com/articles/2654247456", "매물Link")</f>
        <v/>
      </c>
      <c r="Q370" s="6">
        <f>HYPERLINK("https://map.naver.com/p/search/남이면 팔봉리 39-42", "지도Link")</f>
        <v/>
      </c>
      <c r="R370" s="6">
        <f>HYPERLINK("http://www.eum.go.kr/web/ar/lu/luLandDet.jsp?pnu=4311231030100390042&amp;isNoScr=script&amp;mode=search", "토지이음")</f>
        <v/>
      </c>
      <c r="S370" s="3" t="inlineStr">
        <is>
          <t>금호사랑</t>
        </is>
      </c>
      <c r="T370" s="4" t="n">
        <v>1</v>
      </c>
      <c r="U370" s="5" t="n">
        <v>54.5</v>
      </c>
      <c r="V370" s="4" t="n">
        <v>897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남이면 팔봉리 51-20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59500</v>
      </c>
      <c r="H371" s="4" t="n">
        <v>0</v>
      </c>
      <c r="I371" s="4" t="n">
        <v>701</v>
      </c>
      <c r="J371" s="4" t="n">
        <v>212</v>
      </c>
      <c r="K371" s="5" t="n">
        <v>280.7</v>
      </c>
      <c r="L371" s="4" t="n">
        <v>99</v>
      </c>
      <c r="M371" s="4" t="n">
        <v>30</v>
      </c>
      <c r="N371" s="5" t="n">
        <v>1983.3</v>
      </c>
      <c r="O371" s="3" t="inlineStr">
        <is>
          <t>정원이 예쁜 집 팔봉리 전망좋은 주택매매</t>
        </is>
      </c>
      <c r="P371" s="6">
        <f>HYPERLINK("https://fin.land.naver.com/articles/2654272667", "매물Link")</f>
        <v/>
      </c>
      <c r="Q371" s="6">
        <f>HYPERLINK("https://map.naver.com/p/search/남이면 팔봉리 51-20", "지도Link")</f>
        <v/>
      </c>
      <c r="R371" s="6">
        <f>HYPERLINK("http://www.eum.go.kr/web/ar/lu/luLandDet.jsp?pnu=4311231030100510020&amp;isNoScr=script&amp;mode=search", "토지이음")</f>
        <v/>
      </c>
      <c r="S371" s="3" t="inlineStr">
        <is>
          <t>학사</t>
        </is>
      </c>
      <c r="T371" s="4" t="n">
        <v>1</v>
      </c>
      <c r="U371" s="5" t="n">
        <v>57.6</v>
      </c>
      <c r="V371" s="4" t="n">
        <v>701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다정동 798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200000</v>
      </c>
      <c r="H372" s="4" t="n">
        <v>0</v>
      </c>
      <c r="I372" s="4" t="n">
        <v>357</v>
      </c>
      <c r="J372" s="4" t="n">
        <v>108</v>
      </c>
      <c r="K372" s="5" t="n">
        <v>1851.9</v>
      </c>
      <c r="L372" s="4" t="n">
        <v>199</v>
      </c>
      <c r="M372" s="4" t="n">
        <v>60</v>
      </c>
      <c r="N372" s="5" t="n">
        <v>3333.3</v>
      </c>
      <c r="O372" s="3" t="inlineStr">
        <is>
          <t>팬트하우스 형 주택 최고급</t>
        </is>
      </c>
      <c r="P372" s="6">
        <f>HYPERLINK("https://fin.land.naver.com/articles/2652832579", "매물Link")</f>
        <v/>
      </c>
      <c r="Q372" s="6">
        <f>HYPERLINK("https://map.naver.com/p/search/다정동 798", "지도Link")</f>
        <v/>
      </c>
      <c r="R372" s="6">
        <f>HYPERLINK("http://www.eum.go.kr/web/ar/lu/luLandDet.jsp?pnu=3611010900107980000&amp;isNoScr=script&amp;mode=search", "토지이음")</f>
        <v/>
      </c>
      <c r="S372" s="3" t="inlineStr">
        <is>
          <t>세종삼촌</t>
        </is>
      </c>
      <c r="T372" s="4" t="n">
        <v>2</v>
      </c>
      <c r="U372" s="5" t="n">
        <v>319.2</v>
      </c>
      <c r="V372" s="4" t="n">
        <v>356.8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다정동 798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200000</v>
      </c>
      <c r="H373" s="4" t="n">
        <v>0</v>
      </c>
      <c r="I373" s="4" t="n">
        <v>356</v>
      </c>
      <c r="J373" s="4" t="n">
        <v>108</v>
      </c>
      <c r="K373" s="5" t="n">
        <v>1851.9</v>
      </c>
      <c r="L373" s="4" t="n">
        <v>199</v>
      </c>
      <c r="M373" s="4" t="n">
        <v>60</v>
      </c>
      <c r="N373" s="5" t="n">
        <v>3333.3</v>
      </c>
      <c r="O373" s="3" t="inlineStr">
        <is>
          <t>조율가능 판교급 하이엔드 럭셔리주택 프라이빗한설계 자재최상 창호최상급</t>
        </is>
      </c>
      <c r="P373" s="6">
        <f>HYPERLINK("https://fin.land.naver.com/articles/2652917993", "매물Link")</f>
        <v/>
      </c>
      <c r="Q373" s="6">
        <f>HYPERLINK("https://map.naver.com/p/search/다정동 798", "지도Link")</f>
        <v/>
      </c>
      <c r="R373" s="6">
        <f>HYPERLINK("http://www.eum.go.kr/web/ar/lu/luLandDet.jsp?pnu=3611010900107980000&amp;isNoScr=script&amp;mode=search", "토지이음")</f>
        <v/>
      </c>
      <c r="S373" s="3" t="inlineStr">
        <is>
          <t>세종스타</t>
        </is>
      </c>
      <c r="T373" s="4" t="n">
        <v>1</v>
      </c>
      <c r="U373" s="5" t="n">
        <v>319.2</v>
      </c>
      <c r="V373" s="4" t="n">
        <v>356.8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중로한면</t>
        </is>
      </c>
    </row>
    <row r="374">
      <c r="A374" s="3" t="inlineStr">
        <is>
          <t>다정동 831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120000</v>
      </c>
      <c r="H374" s="4" t="n">
        <v>0</v>
      </c>
      <c r="I374" s="4" t="n">
        <v>289</v>
      </c>
      <c r="J374" s="4" t="n">
        <v>87</v>
      </c>
      <c r="K374" s="5" t="n">
        <v>1379.3</v>
      </c>
      <c r="L374" s="4" t="n">
        <v>199</v>
      </c>
      <c r="M374" s="4" t="n">
        <v>60</v>
      </c>
      <c r="N374" s="5" t="n">
        <v>2000</v>
      </c>
      <c r="O374" s="3" t="inlineStr">
        <is>
          <t>1년차 최신축 방4개 모던한 단독주택</t>
        </is>
      </c>
      <c r="P374" s="6">
        <f>HYPERLINK("https://fin.land.naver.com/articles/2652917981", "매물Link")</f>
        <v/>
      </c>
      <c r="Q374" s="6">
        <f>HYPERLINK("https://map.naver.com/p/search/다정동 831", "지도Link")</f>
        <v/>
      </c>
      <c r="R374" s="6">
        <f>HYPERLINK("http://www.eum.go.kr/web/ar/lu/luLandDet.jsp?pnu=3611010900108310000&amp;isNoScr=script&amp;mode=search", "토지이음")</f>
        <v/>
      </c>
      <c r="S374" s="3" t="inlineStr">
        <is>
          <t>세종스타</t>
        </is>
      </c>
      <c r="T374" s="4" t="n">
        <v>3</v>
      </c>
      <c r="U374" s="5" t="n">
        <v>341.2</v>
      </c>
      <c r="V374" s="4" t="n">
        <v>289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중로한면</t>
        </is>
      </c>
    </row>
    <row r="375">
      <c r="A375" s="3" t="inlineStr">
        <is>
          <t>다정동 890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79800</v>
      </c>
      <c r="H375" s="4" t="n">
        <v>0</v>
      </c>
      <c r="I375" s="4" t="n">
        <v>15314</v>
      </c>
      <c r="J375" s="4" t="n">
        <v>4632</v>
      </c>
      <c r="K375" s="5" t="n">
        <v>17.2</v>
      </c>
      <c r="L375" s="4" t="n">
        <v>181</v>
      </c>
      <c r="M375" s="4" t="n">
        <v>55</v>
      </c>
      <c r="N375" s="5" t="n">
        <v>1450.9</v>
      </c>
      <c r="O375" s="3" t="inlineStr">
        <is>
          <t>12월11일협의입주,모두의로망전원주택에 살아보아요</t>
        </is>
      </c>
      <c r="P375" s="6">
        <f>HYPERLINK("https://fin.land.naver.com/articles/2654839381", "매물Link")</f>
        <v/>
      </c>
      <c r="Q375" s="6">
        <f>HYPERLINK("https://map.naver.com/p/search/다정동 890", "지도Link")</f>
        <v/>
      </c>
      <c r="R375" s="6">
        <f>HYPERLINK("http://www.eum.go.kr/web/ar/lu/luLandDet.jsp?pnu=3611010900108900000&amp;isNoScr=script&amp;mode=search", "토지이음")</f>
        <v/>
      </c>
      <c r="S375" s="3" t="inlineStr">
        <is>
          <t>확실한</t>
        </is>
      </c>
      <c r="T375" s="4" t="n">
        <v>1</v>
      </c>
      <c r="U375" s="5" t="n">
        <v>353.7</v>
      </c>
      <c r="V375" s="4" t="n">
        <v>374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중로각지</t>
        </is>
      </c>
    </row>
    <row r="376">
      <c r="A376" s="3" t="inlineStr">
        <is>
          <t>도담동 426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178000</v>
      </c>
      <c r="H376" s="4" t="n">
        <v>0</v>
      </c>
      <c r="I376" s="4" t="n">
        <v>303</v>
      </c>
      <c r="J376" s="4" t="n">
        <v>92</v>
      </c>
      <c r="K376" s="5" t="n">
        <v>1934.8</v>
      </c>
      <c r="L376" s="4" t="n">
        <v>193</v>
      </c>
      <c r="M376" s="4" t="n">
        <v>58</v>
      </c>
      <c r="N376" s="5" t="n">
        <v>3069</v>
      </c>
      <c r="O376" s="3" t="inlineStr">
        <is>
          <t>최신축 위치최상 말발굽 귀한주택 매물 추가협의가능</t>
        </is>
      </c>
      <c r="P376" s="6">
        <f>HYPERLINK("https://fin.land.naver.com/articles/2653750680", "매물Link")</f>
        <v/>
      </c>
      <c r="Q376" s="6">
        <f>HYPERLINK("https://map.naver.com/p/search/도담동 426", "지도Link")</f>
        <v/>
      </c>
      <c r="R376" s="6">
        <f>HYPERLINK("http://www.eum.go.kr/web/ar/lu/luLandDet.jsp?pnu=3611011400104260000&amp;isNoScr=script&amp;mode=search", "토지이음")</f>
        <v/>
      </c>
      <c r="S376" s="3" t="inlineStr">
        <is>
          <t>세종스타</t>
        </is>
      </c>
      <c r="T376" s="4" t="n">
        <v>4</v>
      </c>
      <c r="U376" s="5" t="n">
        <v>358.3</v>
      </c>
      <c r="V376" s="4" t="n">
        <v>303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304</v>
      </c>
      <c r="M377" s="4" t="n">
        <v>92</v>
      </c>
      <c r="N377" s="5" t="n">
        <v>1837</v>
      </c>
      <c r="O377" s="3" t="inlineStr">
        <is>
          <t>협의입주.방4개,화장실3개.테라스.넓은 정원까지 튼튼하고 예쁜 집</t>
        </is>
      </c>
      <c r="P377" s="6">
        <f>HYPERLINK("https://fin.land.naver.com/articles/2653318803",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수자인</t>
        </is>
      </c>
      <c r="T377" s="4" t="n">
        <v>1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176</v>
      </c>
      <c r="M378" s="4" t="n">
        <v>53</v>
      </c>
      <c r="N378" s="5" t="n">
        <v>3188.7</v>
      </c>
      <c r="O378" s="3" t="inlineStr">
        <is>
          <t>2층 테라스, 전망 좋은집, 방4개, 화장실3개</t>
        </is>
      </c>
      <c r="P378" s="6">
        <f>HYPERLINK("https://fin.land.naver.com/articles/2654692677",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세종무지개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427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169000</v>
      </c>
      <c r="H379" s="4" t="n">
        <v>0</v>
      </c>
      <c r="I379" s="4" t="n">
        <v>304</v>
      </c>
      <c r="J379" s="4" t="n">
        <v>92</v>
      </c>
      <c r="K379" s="5" t="n">
        <v>1837</v>
      </c>
      <c r="L379" s="4" t="n">
        <v>176</v>
      </c>
      <c r="M379" s="4" t="n">
        <v>53</v>
      </c>
      <c r="N379" s="5" t="n">
        <v>3188.7</v>
      </c>
      <c r="O379" s="3" t="inlineStr">
        <is>
          <t>공원 인접한 숲세권 단독주택, 충남대 병원 도보로 가능</t>
        </is>
      </c>
      <c r="P379" s="6">
        <f>HYPERLINK("https://fin.land.naver.com/articles/2652665481", "매물Link")</f>
        <v/>
      </c>
      <c r="Q379" s="6">
        <f>HYPERLINK("https://map.naver.com/p/search/도담동 427", "지도Link")</f>
        <v/>
      </c>
      <c r="R379" s="6">
        <f>HYPERLINK("http://www.eum.go.kr/web/ar/lu/luLandDet.jsp?pnu=3611011400104270000&amp;isNoScr=script&amp;mode=search", "토지이음")</f>
        <v/>
      </c>
      <c r="S379" s="3" t="inlineStr">
        <is>
          <t>오케이태복</t>
        </is>
      </c>
      <c r="T379" s="4" t="n">
        <v>2</v>
      </c>
      <c r="U379" s="5" t="n">
        <v>358.3</v>
      </c>
      <c r="V379" s="4" t="n">
        <v>304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427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169000</v>
      </c>
      <c r="H380" s="4" t="n">
        <v>0</v>
      </c>
      <c r="I380" s="4" t="n">
        <v>304</v>
      </c>
      <c r="J380" s="4" t="n">
        <v>92</v>
      </c>
      <c r="K380" s="5" t="n">
        <v>1837</v>
      </c>
      <c r="L380" s="4" t="n">
        <v>176</v>
      </c>
      <c r="M380" s="4" t="n">
        <v>53</v>
      </c>
      <c r="N380" s="5" t="n">
        <v>3188.7</v>
      </c>
      <c r="O380" s="3" t="inlineStr">
        <is>
          <t>전용 53.4p, 층고 높고 조망 좋은집, 테라스, 공원인근</t>
        </is>
      </c>
      <c r="P380" s="6">
        <f>HYPERLINK("https://fin.land.naver.com/articles/2654924033", "매물Link")</f>
        <v/>
      </c>
      <c r="Q380" s="6">
        <f>HYPERLINK("https://map.naver.com/p/search/도담동 427", "지도Link")</f>
        <v/>
      </c>
      <c r="R380" s="6">
        <f>HYPERLINK("http://www.eum.go.kr/web/ar/lu/luLandDet.jsp?pnu=3611011400104270000&amp;isNoScr=script&amp;mode=search", "토지이음")</f>
        <v/>
      </c>
      <c r="S380" s="3" t="inlineStr">
        <is>
          <t>명진</t>
        </is>
      </c>
      <c r="T380" s="4" t="n">
        <v>1</v>
      </c>
      <c r="U380" s="5" t="n">
        <v>358.3</v>
      </c>
      <c r="V380" s="4" t="n">
        <v>304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427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169000</v>
      </c>
      <c r="H381" s="4" t="n">
        <v>0</v>
      </c>
      <c r="I381" s="4" t="n">
        <v>304</v>
      </c>
      <c r="J381" s="4" t="n">
        <v>92</v>
      </c>
      <c r="K381" s="5" t="n">
        <v>1837</v>
      </c>
      <c r="L381" s="4" t="n">
        <v>176</v>
      </c>
      <c r="M381" s="4" t="n">
        <v>53</v>
      </c>
      <c r="N381" s="5" t="n">
        <v>3188.7</v>
      </c>
      <c r="O381" s="3" t="inlineStr">
        <is>
          <t>조율가능 넓은공원접한위치 테라스 조망최상</t>
        </is>
      </c>
      <c r="P381" s="6">
        <f>HYPERLINK("https://fin.land.naver.com/articles/2651086326", "매물Link")</f>
        <v/>
      </c>
      <c r="Q381" s="6">
        <f>HYPERLINK("https://map.naver.com/p/search/도담동 427", "지도Link")</f>
        <v/>
      </c>
      <c r="R381" s="6">
        <f>HYPERLINK("http://www.eum.go.kr/web/ar/lu/luLandDet.jsp?pnu=3611011400104270000&amp;isNoScr=script&amp;mode=search", "토지이음")</f>
        <v/>
      </c>
      <c r="S381" s="3" t="inlineStr">
        <is>
          <t>세종스타</t>
        </is>
      </c>
      <c r="T381" s="4" t="n">
        <v>1</v>
      </c>
      <c r="U381" s="5" t="n">
        <v>358.3</v>
      </c>
      <c r="V381" s="4" t="n">
        <v>304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소로한면</t>
        </is>
      </c>
    </row>
    <row r="382">
      <c r="A382" s="3" t="inlineStr">
        <is>
          <t>도담동 427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169000</v>
      </c>
      <c r="H382" s="4" t="n">
        <v>0</v>
      </c>
      <c r="I382" s="4" t="n">
        <v>304</v>
      </c>
      <c r="J382" s="4" t="n">
        <v>92</v>
      </c>
      <c r="K382" s="5" t="n">
        <v>1837</v>
      </c>
      <c r="L382" s="4" t="n">
        <v>176</v>
      </c>
      <c r="M382" s="4" t="n">
        <v>53</v>
      </c>
      <c r="N382" s="5" t="n">
        <v>3188.7</v>
      </c>
      <c r="O382" s="3" t="inlineStr">
        <is>
          <t>도담동 신축주택. 공원인접</t>
        </is>
      </c>
      <c r="P382" s="6">
        <f>HYPERLINK("https://fin.land.naver.com/articles/2655648064", "매물Link")</f>
        <v/>
      </c>
      <c r="Q382" s="6">
        <f>HYPERLINK("https://map.naver.com/p/search/도담동 427", "지도Link")</f>
        <v/>
      </c>
      <c r="R382" s="6">
        <f>HYPERLINK("http://www.eum.go.kr/web/ar/lu/luLandDet.jsp?pnu=3611011400104270000&amp;isNoScr=script&amp;mode=search",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358.3</v>
      </c>
      <c r="V382" s="4" t="n">
        <v>304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도담동 427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169000</v>
      </c>
      <c r="H383" s="4" t="n">
        <v>0</v>
      </c>
      <c r="I383" s="4" t="n">
        <v>304</v>
      </c>
      <c r="J383" s="4" t="n">
        <v>92</v>
      </c>
      <c r="K383" s="5" t="n">
        <v>1837</v>
      </c>
      <c r="L383" s="4" t="n">
        <v>176</v>
      </c>
      <c r="M383" s="4" t="n">
        <v>53</v>
      </c>
      <c r="N383" s="5" t="n">
        <v>3188.7</v>
      </c>
      <c r="O383" s="3" t="inlineStr">
        <is>
          <t>테라스, 공원 인접, 인근 충남대병원, 방축천, 로컬푸드, 6생활권 근접</t>
        </is>
      </c>
      <c r="P383" s="6">
        <f>HYPERLINK("https://fin.land.naver.com/articles/2655652107", "매물Link")</f>
        <v/>
      </c>
      <c r="Q383" s="6">
        <f>HYPERLINK("https://map.naver.com/p/search/도담동 427", "지도Link")</f>
        <v/>
      </c>
      <c r="R383" s="6">
        <f>HYPERLINK("http://www.eum.go.kr/web/ar/lu/luLandDet.jsp?pnu=3611011400104270000&amp;isNoScr=script&amp;mode=search", "토지이음")</f>
        <v/>
      </c>
      <c r="S383" s="3" t="inlineStr">
        <is>
          <t>온뜰</t>
        </is>
      </c>
      <c r="T383" s="4" t="n">
        <v>1</v>
      </c>
      <c r="U383" s="5" t="n">
        <v>358.3</v>
      </c>
      <c r="V383" s="4" t="n">
        <v>304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518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130000</v>
      </c>
      <c r="H384" s="4" t="n">
        <v>0</v>
      </c>
      <c r="I384" s="4" t="n">
        <v>373</v>
      </c>
      <c r="J384" s="4" t="n">
        <v>113</v>
      </c>
      <c r="K384" s="5" t="n">
        <v>1150.4</v>
      </c>
      <c r="L384" s="4" t="n">
        <v>95</v>
      </c>
      <c r="M384" s="4" t="n">
        <v>29</v>
      </c>
      <c r="N384" s="5" t="n">
        <v>4482.8</v>
      </c>
      <c r="O384" s="3" t="inlineStr">
        <is>
          <t>도담동 마당넓은 단독주택, 초등학교 인근</t>
        </is>
      </c>
      <c r="P384" s="6">
        <f>HYPERLINK("https://fin.land.naver.com/articles/2650963994", "매물Link")</f>
        <v/>
      </c>
      <c r="Q384" s="6">
        <f>HYPERLINK("https://map.naver.com/p/search/도담동 518", "지도Link")</f>
        <v/>
      </c>
      <c r="R384" s="6">
        <f>HYPERLINK("http://www.eum.go.kr/web/ar/lu/luLandDet.jsp?pnu=3611011400105180000&amp;isNoScr=script&amp;mode=search", "토지이음")</f>
        <v/>
      </c>
      <c r="S384" s="3" t="inlineStr">
        <is>
          <t>OK세종</t>
        </is>
      </c>
      <c r="T384" s="4" t="n">
        <v>1</v>
      </c>
      <c r="U384" s="5" t="n">
        <v>366.9</v>
      </c>
      <c r="V384" s="4" t="n">
        <v>373.8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도담동 518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130000</v>
      </c>
      <c r="H385" s="4" t="n">
        <v>0</v>
      </c>
      <c r="I385" s="4" t="n">
        <v>373</v>
      </c>
      <c r="J385" s="4" t="n">
        <v>113</v>
      </c>
      <c r="K385" s="5" t="n">
        <v>1150.4</v>
      </c>
      <c r="L385" s="4" t="n">
        <v>95</v>
      </c>
      <c r="M385" s="4" t="n">
        <v>29</v>
      </c>
      <c r="N385" s="5" t="n">
        <v>4482.8</v>
      </c>
      <c r="O385" s="3" t="inlineStr">
        <is>
          <t>협의입주,말발굽자리,남향,마당넓은 예쁜집입니다.</t>
        </is>
      </c>
      <c r="P385" s="6">
        <f>HYPERLINK("https://fin.land.naver.com/articles/2654154469", "매물Link")</f>
        <v/>
      </c>
      <c r="Q385" s="6">
        <f>HYPERLINK("https://map.naver.com/p/search/도담동 518", "지도Link")</f>
        <v/>
      </c>
      <c r="R385" s="6">
        <f>HYPERLINK("http://www.eum.go.kr/web/ar/lu/luLandDet.jsp?pnu=3611011400105180000&amp;isNoScr=script&amp;mode=search", "토지이음")</f>
        <v/>
      </c>
      <c r="S385" s="3" t="inlineStr">
        <is>
          <t>마마</t>
        </is>
      </c>
      <c r="T385" s="4" t="n">
        <v>1</v>
      </c>
      <c r="U385" s="5" t="n">
        <v>366.9</v>
      </c>
      <c r="V385" s="4" t="n">
        <v>373.8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도담동 601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20000</v>
      </c>
      <c r="H386" s="4" t="n">
        <v>50</v>
      </c>
      <c r="I386" s="4" t="n">
        <v>116</v>
      </c>
      <c r="J386" s="4" t="n">
        <v>35</v>
      </c>
      <c r="K386" s="5" t="n">
        <v>1.4</v>
      </c>
      <c r="L386" s="4" t="n">
        <v>79</v>
      </c>
      <c r="M386" s="4" t="n">
        <v>24</v>
      </c>
      <c r="N386" s="5" t="n">
        <v>2.1</v>
      </c>
      <c r="O386" s="3" t="inlineStr">
        <is>
          <t>2층만,3억전세가능,2층전용출입문,다락방,테라스,방축천 충대병원 도보</t>
        </is>
      </c>
      <c r="P386" s="6">
        <f>HYPERLINK("https://fin.land.naver.com/articles/2653270299", "매물Link")</f>
        <v/>
      </c>
      <c r="Q386" s="6">
        <f>HYPERLINK("https://map.naver.com/p/search/도담동 601", "지도Link")</f>
        <v/>
      </c>
      <c r="R386" s="6">
        <f>HYPERLINK("http://www.eum.go.kr/web/ar/lu/luLandDet.jsp?pnu=3611011400106010000&amp;isNoScr=script&amp;mode=search", "토지이음")</f>
        <v/>
      </c>
      <c r="S386" s="3" t="inlineStr">
        <is>
          <t>태복</t>
        </is>
      </c>
      <c r="T386" s="4" t="n">
        <v>2</v>
      </c>
      <c r="U386" s="5" t="n">
        <v>433.7</v>
      </c>
      <c r="V386" s="4" t="n">
        <v>294.8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601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월세</t>
        </is>
      </c>
      <c r="G387" s="4" t="n">
        <v>20000</v>
      </c>
      <c r="H387" s="4" t="n">
        <v>50</v>
      </c>
      <c r="I387" s="4" t="n">
        <v>116</v>
      </c>
      <c r="J387" s="4" t="n">
        <v>35</v>
      </c>
      <c r="K387" s="5" t="n">
        <v>1.4</v>
      </c>
      <c r="L387" s="4" t="n">
        <v>79</v>
      </c>
      <c r="M387" s="4" t="n">
        <v>24</v>
      </c>
      <c r="N387" s="5" t="n">
        <v>2.1</v>
      </c>
      <c r="O387" s="3" t="inlineStr">
        <is>
          <t>2층과 다락방사용, 외부계단이용, 전기태양광설치, 전세로 가능</t>
        </is>
      </c>
      <c r="P387" s="6">
        <f>HYPERLINK("https://fin.land.naver.com/articles/2651701809", "매물Link")</f>
        <v/>
      </c>
      <c r="Q387" s="6">
        <f>HYPERLINK("https://map.naver.com/p/search/도담동 601", "지도Link")</f>
        <v/>
      </c>
      <c r="R387" s="6">
        <f>HYPERLINK("http://www.eum.go.kr/web/ar/lu/luLandDet.jsp?pnu=3611011400106010000&amp;isNoScr=script&amp;mode=search", "토지이음")</f>
        <v/>
      </c>
      <c r="S387" s="3" t="inlineStr">
        <is>
          <t>OK세종</t>
        </is>
      </c>
      <c r="T387" s="4" t="n">
        <v>1</v>
      </c>
      <c r="U387" s="5" t="n">
        <v>433.7</v>
      </c>
      <c r="V387" s="4" t="n">
        <v>294.8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697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170000</v>
      </c>
      <c r="H388" s="4" t="n">
        <v>0</v>
      </c>
      <c r="I388" s="4" t="n">
        <v>324</v>
      </c>
      <c r="J388" s="4" t="n">
        <v>98</v>
      </c>
      <c r="K388" s="5" t="n">
        <v>1734.7</v>
      </c>
      <c r="L388" s="4" t="n">
        <v>293</v>
      </c>
      <c r="M388" s="4" t="n">
        <v>89</v>
      </c>
      <c r="N388" s="5" t="n">
        <v>1910.1</v>
      </c>
      <c r="O388" s="3" t="inlineStr">
        <is>
          <t>전용 89p, 조율가능, 급매물, 2세대가능, 전세도가능</t>
        </is>
      </c>
      <c r="P388" s="6">
        <f>HYPERLINK("https://fin.land.naver.com/articles/2654709247", "매물Link")</f>
        <v/>
      </c>
      <c r="Q388" s="6">
        <f>HYPERLINK("https://map.naver.com/p/search/도담동 697", "지도Link")</f>
        <v/>
      </c>
      <c r="R388" s="6">
        <f>HYPERLINK("http://www.eum.go.kr/web/ar/lu/luLandDet.jsp?pnu=3611011400106970000&amp;isNoScr=script&amp;mode=search", "토지이음")</f>
        <v/>
      </c>
      <c r="S388" s="3" t="inlineStr">
        <is>
          <t>세종무지개</t>
        </is>
      </c>
      <c r="T388" s="4" t="n">
        <v>2</v>
      </c>
      <c r="U388" s="5" t="n">
        <v>378.2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697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170000</v>
      </c>
      <c r="H389" s="4" t="n">
        <v>0</v>
      </c>
      <c r="I389" s="4" t="n">
        <v>324</v>
      </c>
      <c r="J389" s="4" t="n">
        <v>98</v>
      </c>
      <c r="K389" s="5" t="n">
        <v>1734.7</v>
      </c>
      <c r="L389" s="4" t="n">
        <v>293</v>
      </c>
      <c r="M389" s="4" t="n">
        <v>89</v>
      </c>
      <c r="N389" s="5" t="n">
        <v>1910.1</v>
      </c>
      <c r="O389" s="3" t="inlineStr">
        <is>
          <t>급매 추가조율가능 전세가능8억 대형주택 2세대거주가능</t>
        </is>
      </c>
      <c r="P389" s="6">
        <f>HYPERLINK("https://fin.land.naver.com/articles/2655254355", "매물Link")</f>
        <v/>
      </c>
      <c r="Q389" s="6">
        <f>HYPERLINK("https://map.naver.com/p/search/도담동 697", "지도Link")</f>
        <v/>
      </c>
      <c r="R389" s="6">
        <f>HYPERLINK("http://www.eum.go.kr/web/ar/lu/luLandDet.jsp?pnu=3611011400106970000&amp;isNoScr=script&amp;mode=search", "토지이음")</f>
        <v/>
      </c>
      <c r="S389" s="3" t="inlineStr">
        <is>
          <t>세종스타</t>
        </is>
      </c>
      <c r="T389" s="4" t="n">
        <v>3</v>
      </c>
      <c r="U389" s="5" t="n">
        <v>378.2</v>
      </c>
      <c r="V389" s="4" t="n">
        <v>324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698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230000</v>
      </c>
      <c r="H390" s="4" t="n">
        <v>0</v>
      </c>
      <c r="I390" s="4" t="n">
        <v>324</v>
      </c>
      <c r="J390" s="4" t="n">
        <v>98</v>
      </c>
      <c r="K390" s="5" t="n">
        <v>2346.9</v>
      </c>
      <c r="L390" s="4" t="n">
        <v>199</v>
      </c>
      <c r="M390" s="4" t="n">
        <v>60</v>
      </c>
      <c r="N390" s="5" t="n">
        <v>3833.3</v>
      </c>
      <c r="O390" s="3" t="inlineStr">
        <is>
          <t>nan</t>
        </is>
      </c>
      <c r="P390" s="6">
        <f>HYPERLINK("https://fin.land.naver.com/articles/2655659815", "매물Link")</f>
        <v/>
      </c>
      <c r="Q390" s="6">
        <f>HYPERLINK("https://map.naver.com/p/search/도담동 698", "지도Link")</f>
        <v/>
      </c>
      <c r="R390" s="6">
        <f>HYPERLINK("http://www.eum.go.kr/web/ar/lu/luLandDet.jsp?pnu=3611011400106980000&amp;isNoScr=script&amp;mode=search", "토지이음")</f>
        <v/>
      </c>
      <c r="S390" s="3" t="inlineStr">
        <is>
          <t>세종삼촌</t>
        </is>
      </c>
      <c r="T390" s="4" t="n">
        <v>2</v>
      </c>
      <c r="U390" s="5" t="n">
        <v>382.1</v>
      </c>
      <c r="V390" s="4" t="n">
        <v>324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698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230000</v>
      </c>
      <c r="H391" s="4" t="n">
        <v>0</v>
      </c>
      <c r="I391" s="4" t="n">
        <v>324</v>
      </c>
      <c r="J391" s="4" t="n">
        <v>98</v>
      </c>
      <c r="K391" s="5" t="n">
        <v>2346.9</v>
      </c>
      <c r="L391" s="4" t="n">
        <v>199</v>
      </c>
      <c r="M391" s="4" t="n">
        <v>60</v>
      </c>
      <c r="N391" s="5" t="n">
        <v>3833.3</v>
      </c>
      <c r="O391" s="3" t="inlineStr">
        <is>
          <t>명성공인, 방4, 화4, 풀에어컨, 다락까지 있는 위치 좋은 추천 매물</t>
        </is>
      </c>
      <c r="P391" s="6">
        <f>HYPERLINK("https://fin.land.naver.com/articles/2655994461", "매물Link")</f>
        <v/>
      </c>
      <c r="Q391" s="6">
        <f>HYPERLINK("https://map.naver.com/p/search/도담동 698", "지도Link")</f>
        <v/>
      </c>
      <c r="R391" s="6">
        <f>HYPERLINK("http://www.eum.go.kr/web/ar/lu/luLandDet.jsp?pnu=3611011400106980000&amp;isNoScr=script&amp;mode=search", "토지이음")</f>
        <v/>
      </c>
      <c r="S391" s="3" t="inlineStr">
        <is>
          <t>명성</t>
        </is>
      </c>
      <c r="T391" s="4" t="n">
        <v>1</v>
      </c>
      <c r="U391" s="5" t="n">
        <v>382.1</v>
      </c>
      <c r="V391" s="4" t="n">
        <v>324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소로한면</t>
        </is>
      </c>
    </row>
    <row r="392">
      <c r="A392" s="3" t="inlineStr">
        <is>
          <t>도담동 698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225000</v>
      </c>
      <c r="H392" s="4" t="n">
        <v>0</v>
      </c>
      <c r="I392" s="4" t="n">
        <v>324</v>
      </c>
      <c r="J392" s="4" t="n">
        <v>98</v>
      </c>
      <c r="K392" s="5" t="n">
        <v>2295.9</v>
      </c>
      <c r="L392" s="4" t="n">
        <v>199</v>
      </c>
      <c r="M392" s="4" t="n">
        <v>60</v>
      </c>
      <c r="N392" s="5" t="n">
        <v>3750</v>
      </c>
      <c r="O392" s="3" t="inlineStr">
        <is>
          <t>전용60.3p, 방4개, 화장실4개, 입지 좋은 단독주택</t>
        </is>
      </c>
      <c r="P392" s="6">
        <f>HYPERLINK("https://fin.land.naver.com/articles/2654696423", "매물Link")</f>
        <v/>
      </c>
      <c r="Q392" s="6">
        <f>HYPERLINK("https://map.naver.com/p/search/도담동 698", "지도Link")</f>
        <v/>
      </c>
      <c r="R392" s="6">
        <f>HYPERLINK("http://www.eum.go.kr/web/ar/lu/luLandDet.jsp?pnu=3611011400106980000&amp;isNoScr=script&amp;mode=search", "토지이음")</f>
        <v/>
      </c>
      <c r="S392" s="3" t="inlineStr">
        <is>
          <t>세종무지개</t>
        </is>
      </c>
      <c r="T392" s="4" t="n">
        <v>1</v>
      </c>
      <c r="U392" s="5" t="n">
        <v>382.1</v>
      </c>
      <c r="V392" s="4" t="n">
        <v>324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가로장방</t>
        </is>
      </c>
      <c r="AA392" s="3" t="inlineStr">
        <is>
          <t>소로한면</t>
        </is>
      </c>
    </row>
    <row r="393">
      <c r="A393" s="3" t="inlineStr">
        <is>
          <t>도담동 698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225000</v>
      </c>
      <c r="H393" s="4" t="n">
        <v>0</v>
      </c>
      <c r="I393" s="4" t="n">
        <v>324</v>
      </c>
      <c r="J393" s="4" t="n">
        <v>98</v>
      </c>
      <c r="K393" s="5" t="n">
        <v>2295.9</v>
      </c>
      <c r="L393" s="4" t="n">
        <v>199</v>
      </c>
      <c r="M393" s="4" t="n">
        <v>60</v>
      </c>
      <c r="N393" s="5" t="n">
        <v>3750</v>
      </c>
      <c r="O393" s="3" t="inlineStr">
        <is>
          <t>도담동 최고입지 귀한 단독주택 넓은평수 목조주택</t>
        </is>
      </c>
      <c r="P393" s="6">
        <f>HYPERLINK("https://fin.land.naver.com/articles/2654038763", "매물Link")</f>
        <v/>
      </c>
      <c r="Q393" s="6">
        <f>HYPERLINK("https://map.naver.com/p/search/도담동 698", "지도Link")</f>
        <v/>
      </c>
      <c r="R393" s="6">
        <f>HYPERLINK("http://www.eum.go.kr/web/ar/lu/luLandDet.jsp?pnu=3611011400106980000&amp;isNoScr=script&amp;mode=search",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382.1</v>
      </c>
      <c r="V393" s="4" t="n">
        <v>324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가로장방</t>
        </is>
      </c>
      <c r="AA393" s="3" t="inlineStr">
        <is>
          <t>소로한면</t>
        </is>
      </c>
    </row>
    <row r="394">
      <c r="A394" s="3" t="inlineStr">
        <is>
          <t>도담동 750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302</v>
      </c>
      <c r="J394" s="4" t="n">
        <v>91</v>
      </c>
      <c r="K394" s="5" t="n">
        <v>934.1</v>
      </c>
      <c r="L394" s="4" t="n">
        <v>52</v>
      </c>
      <c r="M394" s="4" t="n">
        <v>16</v>
      </c>
      <c r="N394" s="5" t="n">
        <v>5312.5</v>
      </c>
      <c r="O394" s="3" t="inlineStr">
        <is>
          <t>도담동 입지 좋은 단독주택</t>
        </is>
      </c>
      <c r="P394" s="6">
        <f>HYPERLINK("https://fin.land.naver.com/articles/2653531118", "매물Link")</f>
        <v/>
      </c>
      <c r="Q394" s="6">
        <f>HYPERLINK("https://map.naver.com/p/search/도담동 750", "지도Link")</f>
        <v/>
      </c>
      <c r="R394" s="6">
        <f>HYPERLINK("http://www.eum.go.kr/web/ar/lu/luLandDet.jsp?pnu=3611011400107500000&amp;isNoScr=script&amp;mode=search", "토지이음")</f>
        <v/>
      </c>
      <c r="S394" s="3" t="inlineStr">
        <is>
          <t>어반나래</t>
        </is>
      </c>
      <c r="T394" s="4" t="n">
        <v>1</v>
      </c>
      <c r="U394" s="5" t="n">
        <v>382.1</v>
      </c>
      <c r="V394" s="4" t="n">
        <v>302.8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도담동 753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344</v>
      </c>
      <c r="J395" s="4" t="n">
        <v>104</v>
      </c>
      <c r="K395" s="5" t="n">
        <v>2211.5</v>
      </c>
      <c r="L395" s="4" t="n">
        <v>233</v>
      </c>
      <c r="M395" s="4" t="n">
        <v>70</v>
      </c>
      <c r="N395" s="5" t="n">
        <v>3285.7</v>
      </c>
      <c r="O395" s="3" t="inlineStr">
        <is>
          <t>도시 속의 자연을 품은 주택,편리한 주거환경,BRT,방축천 라인 중심상권</t>
        </is>
      </c>
      <c r="P395" s="6">
        <f>HYPERLINK("https://fin.land.naver.com/articles/2650847837", "매물Link")</f>
        <v/>
      </c>
      <c r="Q395" s="6">
        <f>HYPERLINK("https://map.naver.com/p/search/도담동 753", "지도Link")</f>
        <v/>
      </c>
      <c r="R395" s="6">
        <f>HYPERLINK("http://www.eum.go.kr/web/ar/lu/luLandDet.jsp?pnu=3611011400107530000&amp;isNoScr=script&amp;mode=search", "토지이음")</f>
        <v/>
      </c>
      <c r="S395" s="3" t="inlineStr">
        <is>
          <t>세종웅진</t>
        </is>
      </c>
      <c r="T395" s="4" t="n">
        <v>1</v>
      </c>
      <c r="U395" s="5" t="n">
        <v>382.1</v>
      </c>
      <c r="V395" s="4" t="n">
        <v>344.1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도담동 782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82000</v>
      </c>
      <c r="H396" s="4" t="n">
        <v>0</v>
      </c>
      <c r="I396" s="4" t="n">
        <v>333</v>
      </c>
      <c r="J396" s="4" t="n">
        <v>101</v>
      </c>
      <c r="K396" s="5" t="n">
        <v>811.9</v>
      </c>
      <c r="L396" s="4" t="n">
        <v>35</v>
      </c>
      <c r="M396" s="4" t="n">
        <v>11</v>
      </c>
      <c r="N396" s="5" t="n">
        <v>7454.5</v>
      </c>
      <c r="O396" s="3" t="inlineStr">
        <is>
          <t>마당이 넓은 1층 단독주택, 세컨하우스, 공방, 주말쉼터 추천</t>
        </is>
      </c>
      <c r="P396" s="6">
        <f>HYPERLINK("https://fin.land.naver.com/articles/2651188895", "매물Link")</f>
        <v/>
      </c>
      <c r="Q396" s="6">
        <f>HYPERLINK("https://map.naver.com/p/search/도담동 782", "지도Link")</f>
        <v/>
      </c>
      <c r="R396" s="6">
        <f>HYPERLINK("http://www.eum.go.kr/web/ar/lu/luLandDet.jsp?pnu=3611011400107820000&amp;isNoScr=script&amp;mode=search",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391.1</v>
      </c>
      <c r="V396" s="4" t="n">
        <v>333.7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782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82000</v>
      </c>
      <c r="H397" s="4" t="n">
        <v>0</v>
      </c>
      <c r="I397" s="4" t="n">
        <v>333</v>
      </c>
      <c r="J397" s="4" t="n">
        <v>101</v>
      </c>
      <c r="K397" s="5" t="n">
        <v>811.9</v>
      </c>
      <c r="L397" s="4" t="n">
        <v>35</v>
      </c>
      <c r="M397" s="4" t="n">
        <v>11</v>
      </c>
      <c r="N397" s="5" t="n">
        <v>7454.5</v>
      </c>
      <c r="O397" s="3" t="inlineStr">
        <is>
          <t>넓은 마당, 정남향, 세컨하우스, 공방, 작업실 추천</t>
        </is>
      </c>
      <c r="P397" s="6">
        <f>HYPERLINK("https://fin.land.naver.com/articles/2651949513", "매물Link")</f>
        <v/>
      </c>
      <c r="Q397" s="6">
        <f>HYPERLINK("https://map.naver.com/p/search/도담동 782", "지도Link")</f>
        <v/>
      </c>
      <c r="R397" s="6">
        <f>HYPERLINK("http://www.eum.go.kr/web/ar/lu/luLandDet.jsp?pnu=3611011400107820000&amp;isNoScr=script&amp;mode=search", "토지이음")</f>
        <v/>
      </c>
      <c r="S397" s="3" t="inlineStr">
        <is>
          <t>명진</t>
        </is>
      </c>
      <c r="T397" s="4" t="n">
        <v>1</v>
      </c>
      <c r="U397" s="5" t="n">
        <v>391.1</v>
      </c>
      <c r="V397" s="4" t="n">
        <v>333.7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782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82000</v>
      </c>
      <c r="H398" s="4" t="n">
        <v>0</v>
      </c>
      <c r="I398" s="4" t="n">
        <v>333</v>
      </c>
      <c r="J398" s="4" t="n">
        <v>101</v>
      </c>
      <c r="K398" s="5" t="n">
        <v>811.9</v>
      </c>
      <c r="L398" s="4" t="n">
        <v>35</v>
      </c>
      <c r="M398" s="4" t="n">
        <v>11</v>
      </c>
      <c r="N398" s="5" t="n">
        <v>7454.5</v>
      </c>
      <c r="O398" s="3" t="inlineStr">
        <is>
          <t>nan</t>
        </is>
      </c>
      <c r="P398" s="6">
        <f>HYPERLINK("https://fin.land.naver.com/articles/2652442121", "매물Link")</f>
        <v/>
      </c>
      <c r="Q398" s="6">
        <f>HYPERLINK("https://map.naver.com/p/search/도담동 782", "지도Link")</f>
        <v/>
      </c>
      <c r="R398" s="6">
        <f>HYPERLINK("http://www.eum.go.kr/web/ar/lu/luLandDet.jsp?pnu=3611011400107820000&amp;isNoScr=script&amp;mode=search", "토지이음")</f>
        <v/>
      </c>
      <c r="S398" s="3" t="inlineStr">
        <is>
          <t>세종스타</t>
        </is>
      </c>
      <c r="T398" s="4" t="n">
        <v>1</v>
      </c>
      <c r="U398" s="5" t="n">
        <v>391.1</v>
      </c>
      <c r="V398" s="4" t="n">
        <v>333.7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도담동 782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전원주택</t>
        </is>
      </c>
      <c r="F399" s="3" t="inlineStr">
        <is>
          <t>매매</t>
        </is>
      </c>
      <c r="G399" s="4" t="n">
        <v>82000</v>
      </c>
      <c r="H399" s="4" t="n">
        <v>0</v>
      </c>
      <c r="I399" s="4" t="n">
        <v>333</v>
      </c>
      <c r="J399" s="4" t="n">
        <v>101</v>
      </c>
      <c r="K399" s="5" t="n">
        <v>811.9</v>
      </c>
      <c r="L399" s="4" t="n">
        <v>35</v>
      </c>
      <c r="M399" s="4" t="n">
        <v>11</v>
      </c>
      <c r="N399" s="5" t="n">
        <v>7454.5</v>
      </c>
      <c r="O399" s="3" t="inlineStr">
        <is>
          <t>청사와홈플인근 입지좋고 세컨하우스로 사용할수있는 모듈하우스</t>
        </is>
      </c>
      <c r="P399" s="6">
        <f>HYPERLINK("https://fin.land.naver.com/articles/2653841691", "매물Link")</f>
        <v/>
      </c>
      <c r="Q399" s="6">
        <f>HYPERLINK("https://map.naver.com/p/search/도담동 782", "지도Link")</f>
        <v/>
      </c>
      <c r="R399" s="6">
        <f>HYPERLINK("http://www.eum.go.kr/web/ar/lu/luLandDet.jsp?pnu=3611011400107820000&amp;isNoScr=script&amp;mode=search", "토지이음")</f>
        <v/>
      </c>
      <c r="S399" s="3" t="inlineStr">
        <is>
          <t>웅진스타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782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82000</v>
      </c>
      <c r="H400" s="4" t="n">
        <v>0</v>
      </c>
      <c r="I400" s="4" t="n">
        <v>333</v>
      </c>
      <c r="J400" s="4" t="n">
        <v>101</v>
      </c>
      <c r="K400" s="5" t="n">
        <v>811.9</v>
      </c>
      <c r="L400" s="4" t="n">
        <v>35</v>
      </c>
      <c r="M400" s="4" t="n">
        <v>11</v>
      </c>
      <c r="N400" s="5" t="n">
        <v>7454.5</v>
      </c>
      <c r="O400" s="3" t="inlineStr">
        <is>
          <t>생명나무,도담동 아담한 모듈하우스 경작가능 주말쉼터로도 좋아요</t>
        </is>
      </c>
      <c r="P400" s="6">
        <f>HYPERLINK("https://fin.land.naver.com/articles/2651373721", "매물Link")</f>
        <v/>
      </c>
      <c r="Q400" s="6">
        <f>HYPERLINK("https://map.naver.com/p/search/도담동 782", "지도Link")</f>
        <v/>
      </c>
      <c r="R400" s="6">
        <f>HYPERLINK("http://www.eum.go.kr/web/ar/lu/luLandDet.jsp?pnu=3611011400107820000&amp;isNoScr=script&amp;mode=search", "토지이음")</f>
        <v/>
      </c>
      <c r="S400" s="3" t="inlineStr">
        <is>
          <t>생명나무</t>
        </is>
      </c>
      <c r="T400" s="4" t="n">
        <v>1</v>
      </c>
      <c r="U400" s="5" t="n">
        <v>391.1</v>
      </c>
      <c r="V400" s="4" t="n">
        <v>333.7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795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150000</v>
      </c>
      <c r="H401" s="4" t="n">
        <v>0</v>
      </c>
      <c r="I401" s="4" t="n">
        <v>316</v>
      </c>
      <c r="J401" s="4" t="n">
        <v>96</v>
      </c>
      <c r="K401" s="5" t="n">
        <v>1562.5</v>
      </c>
      <c r="L401" s="4" t="n">
        <v>145</v>
      </c>
      <c r="M401" s="4" t="n">
        <v>44</v>
      </c>
      <c r="N401" s="5" t="n">
        <v>3409.1</v>
      </c>
      <c r="O401" s="3" t="inlineStr">
        <is>
          <t>도담동 예쁜 단독주택, 홈플과 충대병원 사이, 초등학교 유치원 인접</t>
        </is>
      </c>
      <c r="P401" s="6">
        <f>HYPERLINK("https://fin.land.naver.com/articles/2650962880", "매물Link")</f>
        <v/>
      </c>
      <c r="Q401" s="6">
        <f>HYPERLINK("https://map.naver.com/p/search/도담동 795", "지도Link")</f>
        <v/>
      </c>
      <c r="R401" s="6">
        <f>HYPERLINK("http://www.eum.go.kr/web/ar/lu/luLandDet.jsp?pnu=3611011400107950000&amp;isNoScr=script&amp;mode=search",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410.6</v>
      </c>
      <c r="V401" s="4" t="n">
        <v>316.5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소로각지</t>
        </is>
      </c>
    </row>
    <row r="402">
      <c r="A402" s="3" t="inlineStr">
        <is>
          <t>도담동 795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150000</v>
      </c>
      <c r="H402" s="4" t="n">
        <v>0</v>
      </c>
      <c r="I402" s="4" t="n">
        <v>316</v>
      </c>
      <c r="J402" s="4" t="n">
        <v>96</v>
      </c>
      <c r="K402" s="5" t="n">
        <v>1562.5</v>
      </c>
      <c r="L402" s="4" t="n">
        <v>145</v>
      </c>
      <c r="M402" s="4" t="n">
        <v>44</v>
      </c>
      <c r="N402" s="5" t="n">
        <v>3409.1</v>
      </c>
      <c r="O402" s="3" t="inlineStr">
        <is>
          <t>생명나무,관리최상 도담동 예쁜집 홈플러스인접 BRT도보가능</t>
        </is>
      </c>
      <c r="P402" s="6">
        <f>HYPERLINK("https://fin.land.naver.com/articles/2655964123", "매물Link")</f>
        <v/>
      </c>
      <c r="Q402" s="6">
        <f>HYPERLINK("https://map.naver.com/p/search/도담동 795", "지도Link")</f>
        <v/>
      </c>
      <c r="R402" s="6">
        <f>HYPERLINK("http://www.eum.go.kr/web/ar/lu/luLandDet.jsp?pnu=3611011400107950000&amp;isNoScr=script&amp;mode=search", "토지이음")</f>
        <v/>
      </c>
      <c r="S402" s="3" t="inlineStr">
        <is>
          <t>생명나무</t>
        </is>
      </c>
      <c r="T402" s="4" t="n">
        <v>1</v>
      </c>
      <c r="U402" s="5" t="n">
        <v>410.6</v>
      </c>
      <c r="V402" s="4" t="n">
        <v>316.5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소로각지</t>
        </is>
      </c>
    </row>
    <row r="403">
      <c r="A403" s="3" t="inlineStr">
        <is>
          <t>도담동 795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150000</v>
      </c>
      <c r="H403" s="4" t="n">
        <v>0</v>
      </c>
      <c r="I403" s="4" t="n">
        <v>316</v>
      </c>
      <c r="J403" s="4" t="n">
        <v>96</v>
      </c>
      <c r="K403" s="5" t="n">
        <v>1562.5</v>
      </c>
      <c r="L403" s="4" t="n">
        <v>145</v>
      </c>
      <c r="M403" s="4" t="n">
        <v>44</v>
      </c>
      <c r="N403" s="5" t="n">
        <v>3409.1</v>
      </c>
      <c r="O403" s="3" t="inlineStr">
        <is>
          <t>조율가능 즉시입주협의 홈플 늘봄초 BRT 도보</t>
        </is>
      </c>
      <c r="P403" s="6">
        <f>HYPERLINK("https://fin.land.naver.com/articles/2652441890", "매물Link")</f>
        <v/>
      </c>
      <c r="Q403" s="6">
        <f>HYPERLINK("https://map.naver.com/p/search/도담동 795", "지도Link")</f>
        <v/>
      </c>
      <c r="R403" s="6">
        <f>HYPERLINK("http://www.eum.go.kr/web/ar/lu/luLandDet.jsp?pnu=3611011400107950000&amp;isNoScr=script&amp;mode=search",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410.6</v>
      </c>
      <c r="V403" s="4" t="n">
        <v>316.5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도담동 812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101000</v>
      </c>
      <c r="H404" s="4" t="n">
        <v>0</v>
      </c>
      <c r="I404" s="4" t="n">
        <v>333</v>
      </c>
      <c r="J404" s="4" t="n">
        <v>101</v>
      </c>
      <c r="K404" s="5" t="n">
        <v>1000</v>
      </c>
      <c r="L404" s="4" t="n">
        <v>72</v>
      </c>
      <c r="M404" s="4" t="n">
        <v>22</v>
      </c>
      <c r="N404" s="5" t="n">
        <v>4590.9</v>
      </c>
      <c r="O404" s="3" t="inlineStr">
        <is>
          <t>도담동 위치 좋은 단독주택, 저렴하게 매수해서 세컨하우스로 이용하세요</t>
        </is>
      </c>
      <c r="P404" s="6">
        <f>HYPERLINK("https://fin.land.naver.com/articles/2653369461", "매물Link")</f>
        <v/>
      </c>
      <c r="Q404" s="6">
        <f>HYPERLINK("https://map.naver.com/p/search/도담동 812", "지도Link")</f>
        <v/>
      </c>
      <c r="R404" s="6">
        <f>HYPERLINK("http://www.eum.go.kr/web/ar/lu/luLandDet.jsp?pnu=3611011400108120000&amp;isNoScr=script&amp;mode=search", "토지이음")</f>
        <v/>
      </c>
      <c r="S404" s="3" t="inlineStr">
        <is>
          <t>OK세종 사무소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882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125000</v>
      </c>
      <c r="H405" s="4" t="n">
        <v>0</v>
      </c>
      <c r="I405" s="4" t="n">
        <v>314</v>
      </c>
      <c r="J405" s="4" t="n">
        <v>95</v>
      </c>
      <c r="K405" s="5" t="n">
        <v>1315.8</v>
      </c>
      <c r="L405" s="4" t="n">
        <v>64</v>
      </c>
      <c r="M405" s="4" t="n">
        <v>19</v>
      </c>
      <c r="N405" s="5" t="n">
        <v>6578.9</v>
      </c>
      <c r="O405" s="3" t="inlineStr">
        <is>
          <t>조율가능 가장안쪽 최고위치 철거용이 모듈러주택</t>
        </is>
      </c>
      <c r="P405" s="6">
        <f>HYPERLINK("https://fin.land.naver.com/articles/2651086986", "매물Link")</f>
        <v/>
      </c>
      <c r="Q405" s="6">
        <f>HYPERLINK("https://map.naver.com/p/search/도담동 882", "지도Link")</f>
        <v/>
      </c>
      <c r="R405" s="6">
        <f>HYPERLINK("http://www.eum.go.kr/web/ar/lu/luLandDet.jsp?pnu=3611011400108820000&amp;isNoScr=script&amp;mode=search",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390.1</v>
      </c>
      <c r="V405" s="4" t="n">
        <v>314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897-44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400</v>
      </c>
      <c r="J406" s="4" t="n">
        <v>121</v>
      </c>
      <c r="K406" s="5" t="n">
        <v>1900.8</v>
      </c>
      <c r="L406" s="4" t="n">
        <v>245</v>
      </c>
      <c r="M406" s="4" t="n">
        <v>74</v>
      </c>
      <c r="N406" s="5" t="n">
        <v>3108.1</v>
      </c>
      <c r="O406" s="3" t="inlineStr">
        <is>
          <t>명품 타운하우스 트로아힐스 맨앞라인 ㄷ자형</t>
        </is>
      </c>
      <c r="P406" s="6">
        <f>HYPERLINK("https://fin.land.naver.com/articles/2652288526", "매물Link")</f>
        <v/>
      </c>
      <c r="Q406" s="6">
        <f>HYPERLINK("https://map.naver.com/p/search/도담동 897-44", "지도Link")</f>
        <v/>
      </c>
      <c r="R406" s="6">
        <f>HYPERLINK("http://www.eum.go.kr/web/ar/lu/luLandDet.jsp?pnu=3611011400108970044&amp;isNoScr=script&amp;mode=search", "토지이음")</f>
        <v/>
      </c>
      <c r="S406" s="3" t="inlineStr">
        <is>
          <t>세종스타</t>
        </is>
      </c>
      <c r="T406" s="4" t="n">
        <v>2</v>
      </c>
      <c r="U406" s="5" t="n">
        <v>385.1</v>
      </c>
      <c r="V406" s="4" t="n">
        <v>400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중로한면</t>
        </is>
      </c>
    </row>
    <row r="407">
      <c r="A407" s="3" t="inlineStr">
        <is>
          <t>반곡동 1047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649</v>
      </c>
      <c r="J407" s="4" t="n">
        <v>196</v>
      </c>
      <c r="K407" s="5" t="n">
        <v>1173.5</v>
      </c>
      <c r="L407" s="4" t="n">
        <v>329</v>
      </c>
      <c r="M407" s="4" t="n">
        <v>100</v>
      </c>
      <c r="N407" s="5" t="n">
        <v>2300</v>
      </c>
      <c r="O407" s="3" t="inlineStr">
        <is>
          <t>nan</t>
        </is>
      </c>
      <c r="P407" s="6">
        <f>HYPERLINK("https://fin.land.naver.com/articles/2652769528", "매물Link")</f>
        <v/>
      </c>
      <c r="Q407" s="6">
        <f>HYPERLINK("https://map.naver.com/p/search/반곡동 1047", "지도Link")</f>
        <v/>
      </c>
      <c r="R407" s="6">
        <f>HYPERLINK("http://www.eum.go.kr/web/ar/lu/luLandDet.jsp?pnu=3611010100110470000&amp;isNoScr=script&amp;mode=search", "토지이음")</f>
        <v/>
      </c>
      <c r="S407" s="3" t="inlineStr">
        <is>
          <t>세종로또</t>
        </is>
      </c>
      <c r="T407" s="4" t="n">
        <v>1</v>
      </c>
      <c r="U407" s="5" t="n">
        <v>299.2</v>
      </c>
      <c r="V407" s="4" t="n">
        <v>649.4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반곡동 987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200000</v>
      </c>
      <c r="H408" s="4" t="n">
        <v>0</v>
      </c>
      <c r="I408" s="4" t="n">
        <v>404</v>
      </c>
      <c r="J408" s="4" t="n">
        <v>122</v>
      </c>
      <c r="K408" s="5" t="n">
        <v>1639.3</v>
      </c>
      <c r="L408" s="4" t="n">
        <v>244</v>
      </c>
      <c r="M408" s="4" t="n">
        <v>74</v>
      </c>
      <c r="N408" s="5" t="n">
        <v>2702.7</v>
      </c>
      <c r="O408" s="3" t="inlineStr">
        <is>
          <t>안마당 중정주택 실면적74p 본채별채 방3개 욕실2개</t>
        </is>
      </c>
      <c r="P408" s="6">
        <f>HYPERLINK("https://fin.land.naver.com/articles/2655180287", "매물Link")</f>
        <v/>
      </c>
      <c r="Q408" s="6">
        <f>HYPERLINK("https://map.naver.com/p/search/반곡동 987", "지도Link")</f>
        <v/>
      </c>
      <c r="R408" s="6">
        <f>HYPERLINK("http://www.eum.go.kr/web/ar/lu/luLandDet.jsp?pnu=3611010100109870000&amp;isNoScr=script&amp;mode=search",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262.3</v>
      </c>
      <c r="V408" s="4" t="n">
        <v>404.8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부강면 금호리 372-1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12500</v>
      </c>
      <c r="H409" s="4" t="n">
        <v>0</v>
      </c>
      <c r="I409" s="4" t="n">
        <v>205</v>
      </c>
      <c r="J409" s="4" t="n">
        <v>62</v>
      </c>
      <c r="K409" s="5" t="n">
        <v>201.6</v>
      </c>
      <c r="L409" s="4" t="n">
        <v>30</v>
      </c>
      <c r="M409" s="4" t="n">
        <v>9</v>
      </c>
      <c r="N409" s="5" t="n">
        <v>1388.9</v>
      </c>
      <c r="O409" s="3" t="inlineStr">
        <is>
          <t>탁트인 남향 금강변 소형단독주택지 리모델링 즉시입주</t>
        </is>
      </c>
      <c r="P409" s="6">
        <f>HYPERLINK("https://fin.land.naver.com/articles/2651072599", "매물Link")</f>
        <v/>
      </c>
      <c r="Q409" s="6">
        <f>HYPERLINK("https://map.naver.com/p/search/부강면 금호리 372-1", "지도Link")</f>
        <v/>
      </c>
      <c r="R409" s="6">
        <f>HYPERLINK("http://www.eum.go.kr/web/ar/lu/luLandDet.jsp?pnu=3611033028103720001&amp;isNoScr=script&amp;mode=search", "토지이음")</f>
        <v/>
      </c>
      <c r="S409" s="3" t="inlineStr">
        <is>
          <t>큰터</t>
        </is>
      </c>
      <c r="T409" s="4" t="n">
        <v>1</v>
      </c>
      <c r="U409" s="5" t="n">
        <v>75.09999999999999</v>
      </c>
      <c r="V409" s="4" t="n">
        <v>205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390-8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55000</v>
      </c>
      <c r="H410" s="4" t="n">
        <v>0</v>
      </c>
      <c r="I410" s="4" t="n">
        <v>448</v>
      </c>
      <c r="J410" s="4" t="n">
        <v>136</v>
      </c>
      <c r="K410" s="5" t="n">
        <v>404.4</v>
      </c>
      <c r="L410" s="4" t="n">
        <v>142</v>
      </c>
      <c r="M410" s="4" t="n">
        <v>43</v>
      </c>
      <c r="N410" s="5" t="n">
        <v>1279.1</v>
      </c>
      <c r="O410" s="3" t="inlineStr">
        <is>
          <t>금강뷰 전원주택, 금호교 개통으로 4생활권에서 5분거리</t>
        </is>
      </c>
      <c r="P410" s="6">
        <f>HYPERLINK("https://fin.land.naver.com/articles/2655632602", "매물Link")</f>
        <v/>
      </c>
      <c r="Q410" s="6">
        <f>HYPERLINK("https://map.naver.com/p/search/부강면 금호리 390-8", "지도Link")</f>
        <v/>
      </c>
      <c r="R410" s="6">
        <f>HYPERLINK("http://www.eum.go.kr/web/ar/lu/luLandDet.jsp?pnu=3611033028103900008&amp;isNoScr=script&amp;mode=search", "토지이음")</f>
        <v/>
      </c>
      <c r="S410" s="3" t="inlineStr">
        <is>
          <t>세종삼촌</t>
        </is>
      </c>
      <c r="T410" s="4" t="n">
        <v>3</v>
      </c>
      <c r="U410" s="5" t="n">
        <v>80.7</v>
      </c>
      <c r="V410" s="4" t="n">
        <v>448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390-8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55000</v>
      </c>
      <c r="H411" s="4" t="n">
        <v>0</v>
      </c>
      <c r="I411" s="4" t="n">
        <v>448</v>
      </c>
      <c r="J411" s="4" t="n">
        <v>136</v>
      </c>
      <c r="K411" s="5" t="n">
        <v>404.4</v>
      </c>
      <c r="L411" s="4" t="n">
        <v>142</v>
      </c>
      <c r="M411" s="4" t="n">
        <v>43</v>
      </c>
      <c r="N411" s="5" t="n">
        <v>1279.1</v>
      </c>
      <c r="O411" s="3" t="inlineStr">
        <is>
          <t>탁트인 전망 별장같은 멋진주택</t>
        </is>
      </c>
      <c r="P411" s="6">
        <f>HYPERLINK("https://fin.land.naver.com/articles/2654261184", "매물Link")</f>
        <v/>
      </c>
      <c r="Q411" s="6">
        <f>HYPERLINK("https://map.naver.com/p/search/부강면 금호리 390-8", "지도Link")</f>
        <v/>
      </c>
      <c r="R411" s="6">
        <f>HYPERLINK("http://www.eum.go.kr/web/ar/lu/luLandDet.jsp?pnu=3611033028103900008&amp;isNoScr=script&amp;mode=search", "토지이음")</f>
        <v/>
      </c>
      <c r="S411" s="3" t="inlineStr">
        <is>
          <t>학사</t>
        </is>
      </c>
      <c r="T411" s="4" t="n">
        <v>1</v>
      </c>
      <c r="U411" s="5" t="n">
        <v>80.7</v>
      </c>
      <c r="V411" s="4" t="n">
        <v>448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금호리 390-8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55000</v>
      </c>
      <c r="H412" s="4" t="n">
        <v>0</v>
      </c>
      <c r="I412" s="4" t="n">
        <v>448</v>
      </c>
      <c r="J412" s="4" t="n">
        <v>136</v>
      </c>
      <c r="K412" s="5" t="n">
        <v>404.4</v>
      </c>
      <c r="L412" s="4" t="n">
        <v>142</v>
      </c>
      <c r="M412" s="4" t="n">
        <v>43</v>
      </c>
      <c r="N412" s="5" t="n">
        <v>1279.1</v>
      </c>
      <c r="O412" s="3" t="inlineStr">
        <is>
          <t>금강변  복층전원주택(관리 최상)</t>
        </is>
      </c>
      <c r="P412" s="6">
        <f>HYPERLINK("https://fin.land.naver.com/articles/2653362510", "매물Link")</f>
        <v/>
      </c>
      <c r="Q412" s="6">
        <f>HYPERLINK("https://map.naver.com/p/search/부강면 금호리 390-8", "지도Link")</f>
        <v/>
      </c>
      <c r="R412" s="6">
        <f>HYPERLINK("http://www.eum.go.kr/web/ar/lu/luLandDet.jsp?pnu=3611033028103900008&amp;isNoScr=script&amp;mode=search", "토지이음")</f>
        <v/>
      </c>
      <c r="S412" s="3" t="inlineStr">
        <is>
          <t>이레</t>
        </is>
      </c>
      <c r="T412" s="4" t="n">
        <v>1</v>
      </c>
      <c r="U412" s="5" t="n">
        <v>80.7</v>
      </c>
      <c r="V412" s="4" t="n">
        <v>448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부강면 금호리 613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55000</v>
      </c>
      <c r="H413" s="4" t="n">
        <v>0</v>
      </c>
      <c r="I413" s="4" t="n">
        <v>679</v>
      </c>
      <c r="J413" s="4" t="n">
        <v>205</v>
      </c>
      <c r="K413" s="5" t="n">
        <v>268.3</v>
      </c>
      <c r="L413" s="4" t="n">
        <v>92</v>
      </c>
      <c r="M413" s="4" t="n">
        <v>28</v>
      </c>
      <c r="N413" s="5" t="n">
        <v>1964.3</v>
      </c>
      <c r="O413" s="3" t="inlineStr">
        <is>
          <t>행복도시4생활권 인접, 부강산업단지에 근접한 주택으로 상태 좋음</t>
        </is>
      </c>
      <c r="P413" s="6">
        <f>HYPERLINK("https://fin.land.naver.com/articles/2651169911", "매물Link")</f>
        <v/>
      </c>
      <c r="Q413" s="6">
        <f>HYPERLINK("https://map.naver.com/p/search/부강면 금호리 613", "지도Link")</f>
        <v/>
      </c>
      <c r="R413" s="6">
        <f>HYPERLINK("http://www.eum.go.kr/web/ar/lu/luLandDet.jsp?pnu=3611033028106130000&amp;isNoScr=script&amp;mode=search", "토지이음")</f>
        <v/>
      </c>
      <c r="S413" s="3" t="inlineStr">
        <is>
          <t>드림</t>
        </is>
      </c>
      <c r="T413" s="4" t="n">
        <v>1</v>
      </c>
      <c r="U413" s="5" t="n">
        <v>88</v>
      </c>
      <c r="V413" s="4" t="n">
        <v>679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금호리 712-16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379</v>
      </c>
      <c r="J414" s="4" t="n">
        <v>115</v>
      </c>
      <c r="K414" s="5" t="n">
        <v>304.3</v>
      </c>
      <c r="L414" s="4" t="n">
        <v>71</v>
      </c>
      <c r="M414" s="4" t="n">
        <v>21</v>
      </c>
      <c r="N414" s="5" t="n">
        <v>1666.7</v>
      </c>
      <c r="O414" s="3" t="inlineStr">
        <is>
          <t>흙벽돌구조 1층 주택매매, 창고별도있음</t>
        </is>
      </c>
      <c r="P414" s="6">
        <f>HYPERLINK("https://fin.land.naver.com/articles/2656277443", "매물Link")</f>
        <v/>
      </c>
      <c r="Q414" s="6">
        <f>HYPERLINK("https://map.naver.com/p/search/부강면 금호리 712-16", "지도Link")</f>
        <v/>
      </c>
      <c r="R414" s="6">
        <f>HYPERLINK("http://www.eum.go.kr/web/ar/lu/luLandDet.jsp?pnu=3611033028107120016&amp;isNoScr=script&amp;mode=search", "토지이음")</f>
        <v/>
      </c>
      <c r="S414" s="3" t="inlineStr">
        <is>
          <t>세종무지개</t>
        </is>
      </c>
      <c r="T414" s="4" t="n">
        <v>1</v>
      </c>
      <c r="U414" s="5" t="n">
        <v>94.5</v>
      </c>
      <c r="V414" s="4" t="n">
        <v>379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부강면 금호리 712-16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35000</v>
      </c>
      <c r="H415" s="4" t="n">
        <v>0</v>
      </c>
      <c r="I415" s="4" t="n">
        <v>379</v>
      </c>
      <c r="J415" s="4" t="n">
        <v>115</v>
      </c>
      <c r="K415" s="5" t="n">
        <v>304.3</v>
      </c>
      <c r="L415" s="4" t="n">
        <v>71</v>
      </c>
      <c r="M415" s="4" t="n">
        <v>21</v>
      </c>
      <c r="N415" s="5" t="n">
        <v>1666.7</v>
      </c>
      <c r="O415" s="3" t="inlineStr">
        <is>
          <t>세종시 행복도심 5분 생활권 I 금강변 산책과 텃밭이 있는 전원생활 추천</t>
        </is>
      </c>
      <c r="P415" s="6">
        <f>HYPERLINK("https://fin.land.naver.com/articles/2655051269", "매물Link")</f>
        <v/>
      </c>
      <c r="Q415" s="6">
        <f>HYPERLINK("https://map.naver.com/p/search/부강면 금호리 712-16", "지도Link")</f>
        <v/>
      </c>
      <c r="R415" s="6">
        <f>HYPERLINK("http://www.eum.go.kr/web/ar/lu/luLandDet.jsp?pnu=3611033028107120016&amp;isNoScr=script&amp;mode=search", "토지이음")</f>
        <v/>
      </c>
      <c r="S415" s="3" t="inlineStr">
        <is>
          <t>세종신한</t>
        </is>
      </c>
      <c r="T415" s="4" t="n">
        <v>1</v>
      </c>
      <c r="U415" s="5" t="n">
        <v>94.5</v>
      </c>
      <c r="V415" s="4" t="n">
        <v>379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노호리 307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60000</v>
      </c>
      <c r="H416" s="4" t="n">
        <v>0</v>
      </c>
      <c r="I416" s="4" t="n">
        <v>340</v>
      </c>
      <c r="J416" s="4" t="n">
        <v>103</v>
      </c>
      <c r="K416" s="5" t="n">
        <v>582.5</v>
      </c>
      <c r="L416" s="4" t="n">
        <v>90</v>
      </c>
      <c r="M416" s="4" t="n">
        <v>27</v>
      </c>
      <c r="N416" s="5" t="n">
        <v>2222.2</v>
      </c>
      <c r="O416" s="3" t="inlineStr">
        <is>
          <t>nan</t>
        </is>
      </c>
      <c r="P416" s="6">
        <f>HYPERLINK("https://fin.land.naver.com/articles/2653120425", "매물Link")</f>
        <v/>
      </c>
      <c r="Q416" s="6">
        <f>HYPERLINK("https://map.naver.com/p/search/부강면 노호리 307", "지도Link")</f>
        <v/>
      </c>
      <c r="R416" s="6">
        <f>HYPERLINK("http://www.eum.go.kr/web/ar/lu/luLandDet.jsp?pnu=3611033027103070000&amp;isNoScr=script&amp;mode=search", "토지이음")</f>
        <v/>
      </c>
      <c r="S416" s="3" t="inlineStr">
        <is>
          <t>좋은</t>
        </is>
      </c>
      <c r="T416" s="4" t="n">
        <v>1</v>
      </c>
      <c r="U416" s="5" t="n">
        <v>40.6</v>
      </c>
      <c r="V416" s="4" t="n">
        <v>340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자루형</t>
        </is>
      </c>
      <c r="AA416" s="3" t="inlineStr">
        <is>
          <t>세로한면(가)</t>
        </is>
      </c>
    </row>
    <row r="417">
      <c r="A417" s="3" t="inlineStr">
        <is>
          <t>부강면 등곡리 68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732</v>
      </c>
      <c r="J417" s="4" t="n">
        <v>221</v>
      </c>
      <c r="K417" s="5" t="n">
        <v>158.4</v>
      </c>
      <c r="L417" s="4" t="n">
        <v>132</v>
      </c>
      <c r="M417" s="4" t="n">
        <v>40</v>
      </c>
      <c r="N417" s="5" t="n">
        <v>875</v>
      </c>
      <c r="O417" s="3" t="inlineStr">
        <is>
          <t>좋은 더 조율해 드려요, 현재 주인분 거주하고 계심</t>
        </is>
      </c>
      <c r="P417" s="6">
        <f>HYPERLINK("https://fin.land.naver.com/articles/2650942009", "매물Link")</f>
        <v/>
      </c>
      <c r="Q417" s="6">
        <f>HYPERLINK("https://map.naver.com/p/search/부강면 등곡리 68", "지도Link")</f>
        <v/>
      </c>
      <c r="R417" s="6">
        <f>HYPERLINK("http://www.eum.go.kr/web/ar/lu/luLandDet.jsp?pnu=3611033026100680000&amp;isNoScr=script&amp;mode=search", "토지이음")</f>
        <v/>
      </c>
      <c r="S417" s="3" t="inlineStr">
        <is>
          <t>좋은</t>
        </is>
      </c>
      <c r="T417" s="4" t="n">
        <v>1</v>
      </c>
      <c r="U417" s="5" t="n">
        <v>36.1</v>
      </c>
      <c r="V417" s="4" t="n">
        <v>732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부정형</t>
        </is>
      </c>
      <c r="AA417" s="3" t="inlineStr">
        <is>
          <t>세로한면(가)</t>
        </is>
      </c>
    </row>
    <row r="418">
      <c r="A418" s="3" t="inlineStr">
        <is>
          <t>부강면 문곡리 294-2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83000</v>
      </c>
      <c r="H418" s="4" t="n">
        <v>0</v>
      </c>
      <c r="I418" s="4" t="n">
        <v>660</v>
      </c>
      <c r="J418" s="4" t="n">
        <v>200</v>
      </c>
      <c r="K418" s="5" t="n">
        <v>415</v>
      </c>
      <c r="L418" s="4" t="n">
        <v>192</v>
      </c>
      <c r="M418" s="4" t="n">
        <v>58</v>
      </c>
      <c r="N418" s="5" t="n">
        <v>1431</v>
      </c>
      <c r="O418" s="3" t="inlineStr">
        <is>
          <t>남청주ic에서 부강방면 남쪽 산기슭에 위치한 그림같은 전원주택</t>
        </is>
      </c>
      <c r="P418" s="6">
        <f>HYPERLINK("https://fin.land.naver.com/articles/2652660732", "매물Link")</f>
        <v/>
      </c>
      <c r="Q418" s="6">
        <f>HYPERLINK("https://map.naver.com/p/search/부강면 문곡리 294-2", "지도Link")</f>
        <v/>
      </c>
      <c r="R418" s="6">
        <f>HYPERLINK("http://www.eum.go.kr/web/ar/lu/luLandDet.jsp?pnu=3611033025102940002&amp;isNoScr=script&amp;mode=search", "토지이음")</f>
        <v/>
      </c>
      <c r="S418" s="3" t="inlineStr">
        <is>
          <t>주식회사정원</t>
        </is>
      </c>
      <c r="T418" s="4" t="n">
        <v>1</v>
      </c>
      <c r="U418" s="5" t="n">
        <v>66.90000000000001</v>
      </c>
      <c r="V418" s="4" t="n">
        <v>660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완경사</t>
        </is>
      </c>
      <c r="Z418" s="3" t="inlineStr">
        <is>
          <t>사다리형</t>
        </is>
      </c>
      <c r="AA418" s="3" t="inlineStr">
        <is>
          <t>세로각지(가)</t>
        </is>
      </c>
    </row>
    <row r="419">
      <c r="A419" s="3" t="inlineStr">
        <is>
          <t>부강면 부강리 1013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32</v>
      </c>
      <c r="I419" s="4" t="n">
        <v>36</v>
      </c>
      <c r="J419" s="4" t="n">
        <v>11</v>
      </c>
      <c r="K419" s="5" t="n">
        <v>2.9</v>
      </c>
      <c r="L419" s="4" t="n">
        <v>30</v>
      </c>
      <c r="M419" s="4" t="n">
        <v>9</v>
      </c>
      <c r="N419" s="5" t="n">
        <v>3.6</v>
      </c>
      <c r="O419" s="3" t="inlineStr">
        <is>
          <t>대박 분리형 원룸 베란다 굿</t>
        </is>
      </c>
      <c r="P419" s="6">
        <f>HYPERLINK("https://fin.land.naver.com/articles/2652542744", "매물Link")</f>
        <v/>
      </c>
      <c r="Q419" s="6">
        <f>HYPERLINK("https://map.naver.com/p/search/부강면 부강리 1013", "지도Link")</f>
        <v/>
      </c>
      <c r="R419" s="6">
        <f>HYPERLINK("http://www.eum.go.kr/web/ar/lu/luLandDet.jsp?pnu=3611033021110130000&amp;isNoScr=script&amp;mode=search", "토지이음")</f>
        <v/>
      </c>
      <c r="S419" s="3" t="inlineStr">
        <is>
          <t>부강대박</t>
        </is>
      </c>
      <c r="T419" s="4" t="n">
        <v>1</v>
      </c>
      <c r="U419" s="5" t="n">
        <v>208</v>
      </c>
      <c r="V419" s="4" t="n">
        <v>340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부강면 부강리 1013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32</v>
      </c>
      <c r="I420" s="4" t="n">
        <v>36</v>
      </c>
      <c r="J420" s="4" t="n">
        <v>11</v>
      </c>
      <c r="K420" s="5" t="n">
        <v>2.9</v>
      </c>
      <c r="L420" s="4" t="n">
        <v>30</v>
      </c>
      <c r="M420" s="4" t="n">
        <v>9</v>
      </c>
      <c r="N420" s="5" t="n">
        <v>3.6</v>
      </c>
      <c r="O420" s="3" t="inlineStr">
        <is>
          <t>대박 단기 가능한 분리형 원룸 베란다 굿</t>
        </is>
      </c>
      <c r="P420" s="6">
        <f>HYPERLINK("https://fin.land.naver.com/articles/2652542648", "매물Link")</f>
        <v/>
      </c>
      <c r="Q420" s="6">
        <f>HYPERLINK("https://map.naver.com/p/search/부강면 부강리 1013", "지도Link")</f>
        <v/>
      </c>
      <c r="R420" s="6">
        <f>HYPERLINK("http://www.eum.go.kr/web/ar/lu/luLandDet.jsp?pnu=3611033021110130000&amp;isNoScr=script&amp;mode=search",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208</v>
      </c>
      <c r="V420" s="4" t="n">
        <v>340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세로한면(가)</t>
        </is>
      </c>
    </row>
    <row r="421">
      <c r="A421" s="3" t="inlineStr">
        <is>
          <t>부강면 부강리 112-7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36</v>
      </c>
      <c r="J421" s="4" t="n">
        <v>11</v>
      </c>
      <c r="K421" s="5" t="n">
        <v>3.2</v>
      </c>
      <c r="L421" s="4" t="n">
        <v>30</v>
      </c>
      <c r="M421" s="4" t="n">
        <v>9</v>
      </c>
      <c r="N421" s="5" t="n">
        <v>3.9</v>
      </c>
      <c r="O421" s="3" t="inlineStr">
        <is>
          <t>지원l분리형1룸l버정바로앞l비디오폰l엘베</t>
        </is>
      </c>
      <c r="P421" s="6">
        <f>HYPERLINK("https://fin.land.naver.com/articles/2654880839", "매물Link")</f>
        <v/>
      </c>
      <c r="Q421" s="6">
        <f>HYPERLINK("https://map.naver.com/p/search/부강면 부강리 112-7", "지도Link")</f>
        <v/>
      </c>
      <c r="R421" s="6">
        <f>HYPERLINK("http://www.eum.go.kr/web/ar/lu/luLandDet.jsp?pnu=3611033021101120007&amp;isNoScr=script&amp;mode=search", "토지이음")</f>
        <v/>
      </c>
      <c r="S421" s="3" t="inlineStr">
        <is>
          <t>지원</t>
        </is>
      </c>
      <c r="T421" s="4" t="n">
        <v>1</v>
      </c>
      <c r="U421" s="5" t="n">
        <v>254.1</v>
      </c>
      <c r="V421" s="4" t="n">
        <v>424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125-4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4</t>
        </is>
      </c>
      <c r="E422" s="3" t="inlineStr">
        <is>
          <t>다가구</t>
        </is>
      </c>
      <c r="F422" s="3" t="inlineStr">
        <is>
          <t>매매</t>
        </is>
      </c>
      <c r="G422" s="4" t="n">
        <v>210000</v>
      </c>
      <c r="H422" s="4" t="n">
        <v>0</v>
      </c>
      <c r="I422" s="4" t="n">
        <v>625</v>
      </c>
      <c r="J422" s="4" t="n">
        <v>189</v>
      </c>
      <c r="K422" s="5" t="n">
        <v>1111.1</v>
      </c>
      <c r="L422" s="4" t="n">
        <v>747</v>
      </c>
      <c r="M422" s="4" t="n">
        <v>226</v>
      </c>
      <c r="N422" s="5" t="n">
        <v>929.2</v>
      </c>
      <c r="O422" s="3" t="inlineStr">
        <is>
          <t>현재 공실 없으며 임대 수요가 매우 좋습니다.</t>
        </is>
      </c>
      <c r="P422" s="6">
        <f>HYPERLINK("https://fin.land.naver.com/articles/2653015196", "매물Link")</f>
        <v/>
      </c>
      <c r="Q422" s="6">
        <f>HYPERLINK("https://map.naver.com/p/search/부강면 부강리 125-4", "지도Link")</f>
        <v/>
      </c>
      <c r="R422" s="6">
        <f>HYPERLINK("http://www.eum.go.kr/web/ar/lu/luLandDet.jsp?pnu=3611033021101250004&amp;isNoScr=script&amp;mode=search", "토지이음")</f>
        <v/>
      </c>
      <c r="S422" s="3" t="inlineStr">
        <is>
          <t>진영</t>
        </is>
      </c>
      <c r="T422" s="4" t="n">
        <v>1</v>
      </c>
      <c r="U422" s="5" t="n">
        <v>196.4</v>
      </c>
      <c r="V422" s="4" t="n">
        <v>625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부강면 부강리 126-8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200</v>
      </c>
      <c r="H423" s="4" t="n">
        <v>35</v>
      </c>
      <c r="I423" s="4" t="n">
        <v>33</v>
      </c>
      <c r="J423" s="4" t="n">
        <v>10</v>
      </c>
      <c r="K423" s="5" t="n">
        <v>3.5</v>
      </c>
      <c r="L423" s="4" t="n">
        <v>29</v>
      </c>
      <c r="M423" s="4" t="n">
        <v>9</v>
      </c>
      <c r="N423" s="5" t="n">
        <v>3.9</v>
      </c>
      <c r="O423" s="3" t="inlineStr">
        <is>
          <t>넓고 베란다있는  풀옵션 원룸</t>
        </is>
      </c>
      <c r="P423" s="6">
        <f>HYPERLINK("https://fin.land.naver.com/articles/2653277546", "매물Link")</f>
        <v/>
      </c>
      <c r="Q423" s="6">
        <f>HYPERLINK("https://map.naver.com/p/search/부강면 부강리 126-8", "지도Link")</f>
        <v/>
      </c>
      <c r="R423" s="6">
        <f>HYPERLINK("http://www.eum.go.kr/web/ar/lu/luLandDet.jsp?pnu=3611033021101260008&amp;isNoScr=script&amp;mode=search", "토지이음")</f>
        <v/>
      </c>
      <c r="S423" s="3" t="inlineStr">
        <is>
          <t>세종행복한</t>
        </is>
      </c>
      <c r="T423" s="4" t="n">
        <v>1</v>
      </c>
      <c r="U423" s="5" t="n">
        <v>209.7</v>
      </c>
      <c r="V423" s="4" t="n">
        <v>378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부강면 부강리 333-3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19140</v>
      </c>
      <c r="H424" s="4" t="n">
        <v>0</v>
      </c>
      <c r="I424" s="4" t="n">
        <v>469</v>
      </c>
      <c r="J424" s="4" t="n">
        <v>142</v>
      </c>
      <c r="K424" s="5" t="n">
        <v>134.8</v>
      </c>
      <c r="L424" s="4" t="n">
        <v>117</v>
      </c>
      <c r="M424" s="4" t="n">
        <v>35</v>
      </c>
      <c r="N424" s="5" t="n">
        <v>546.9</v>
      </c>
      <c r="O424" s="3" t="inlineStr">
        <is>
          <t>주택 매매. 부강역 도보 15분. 신축 가능</t>
        </is>
      </c>
      <c r="P424" s="6">
        <f>HYPERLINK("https://fin.land.naver.com/articles/2652151478", "매물Link")</f>
        <v/>
      </c>
      <c r="Q424" s="6">
        <f>HYPERLINK("https://map.naver.com/p/search/부강면 부강리 333-3", "지도Link")</f>
        <v/>
      </c>
      <c r="R424" s="6">
        <f>HYPERLINK("http://www.eum.go.kr/web/ar/lu/luLandDet.jsp?pnu=3611033021103330003&amp;isNoScr=script&amp;mode=search", "토지이음")</f>
        <v/>
      </c>
      <c r="S424" s="3" t="inlineStr">
        <is>
          <t>미소</t>
        </is>
      </c>
      <c r="T424" s="4" t="n">
        <v>1</v>
      </c>
      <c r="U424" s="5" t="n">
        <v>91.09999999999999</v>
      </c>
      <c r="V424" s="4" t="n">
        <v>469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432-45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전세</t>
        </is>
      </c>
      <c r="G425" s="4" t="n">
        <v>5100</v>
      </c>
      <c r="H425" s="4" t="n">
        <v>0</v>
      </c>
      <c r="I425" s="4" t="n">
        <v>40</v>
      </c>
      <c r="J425" s="4" t="n">
        <v>12</v>
      </c>
      <c r="K425" s="5" t="n">
        <v>425</v>
      </c>
      <c r="L425" s="4" t="n">
        <v>33</v>
      </c>
      <c r="M425" s="4" t="n">
        <v>10</v>
      </c>
      <c r="N425" s="5" t="n">
        <v>510</v>
      </c>
      <c r="O425" s="3" t="inlineStr">
        <is>
          <t>대박 1.5룸 마트 10초</t>
        </is>
      </c>
      <c r="P425" s="6">
        <f>HYPERLINK("https://fin.land.naver.com/articles/2654987321", "매물Link")</f>
        <v/>
      </c>
      <c r="Q425" s="6">
        <f>HYPERLINK("https://map.naver.com/p/search/부강면 부강리 432-45", "지도Link")</f>
        <v/>
      </c>
      <c r="R425" s="6">
        <f>HYPERLINK("http://www.eum.go.kr/web/ar/lu/luLandDet.jsp?pnu=3611033021104320045&amp;isNoScr=script&amp;mode=search",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232.9</v>
      </c>
      <c r="V425" s="4" t="n">
        <v>305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소로한면</t>
        </is>
      </c>
    </row>
    <row r="426">
      <c r="A426" s="3" t="inlineStr">
        <is>
          <t>부강면 부강리 449-1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50</v>
      </c>
      <c r="I426" s="4" t="n">
        <v>33</v>
      </c>
      <c r="J426" s="4" t="n">
        <v>10</v>
      </c>
      <c r="K426" s="5" t="n">
        <v>5</v>
      </c>
      <c r="L426" s="4" t="n">
        <v>29</v>
      </c>
      <c r="M426" s="4" t="n">
        <v>9</v>
      </c>
      <c r="N426" s="5" t="n">
        <v>5.6</v>
      </c>
      <c r="O426" s="3" t="inlineStr">
        <is>
          <t>부강역과 중심상권 가깝고 넓은 대형 풀옵션 1.5룸</t>
        </is>
      </c>
      <c r="P426" s="6">
        <f>HYPERLINK("https://fin.land.naver.com/articles/2653277296", "매물Link")</f>
        <v/>
      </c>
      <c r="Q426" s="6">
        <f>HYPERLINK("https://map.naver.com/p/search/부강면 부강리 449-1", "지도Link")</f>
        <v/>
      </c>
      <c r="R426" s="6">
        <f>HYPERLINK("http://www.eum.go.kr/web/ar/lu/luLandDet.jsp?pnu=3611033021104490001&amp;isNoScr=script&amp;mode=search", "토지이음")</f>
        <v/>
      </c>
      <c r="S426" s="3" t="inlineStr">
        <is>
          <t>세종행복한</t>
        </is>
      </c>
      <c r="T426" s="4" t="n">
        <v>1</v>
      </c>
      <c r="U426" s="5" t="n">
        <v>429.1</v>
      </c>
      <c r="V426" s="4" t="n">
        <v>320</v>
      </c>
      <c r="W426" s="3" t="inlineStr">
        <is>
          <t>지정되지않음</t>
        </is>
      </c>
      <c r="X426" s="3" t="inlineStr">
        <is>
          <t>주상기타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중로한면</t>
        </is>
      </c>
    </row>
    <row r="427">
      <c r="A427" s="3" t="inlineStr">
        <is>
          <t>부강면 부강리 463-10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500</v>
      </c>
      <c r="H427" s="4" t="n">
        <v>48</v>
      </c>
      <c r="I427" s="4" t="n">
        <v>45</v>
      </c>
      <c r="J427" s="4" t="n">
        <v>14</v>
      </c>
      <c r="K427" s="5" t="n">
        <v>3.4</v>
      </c>
      <c r="L427" s="4" t="n">
        <v>30</v>
      </c>
      <c r="M427" s="4" t="n">
        <v>9</v>
      </c>
      <c r="N427" s="5" t="n">
        <v>5.3</v>
      </c>
      <c r="O427" s="3" t="inlineStr">
        <is>
          <t>편의시설 초근접 풀옵션 1.5룸</t>
        </is>
      </c>
      <c r="P427" s="6">
        <f>HYPERLINK("https://fin.land.naver.com/articles/2653296523", "매물Link")</f>
        <v/>
      </c>
      <c r="Q427" s="6">
        <f>HYPERLINK("https://map.naver.com/p/search/부강면 부강리 463-10", "지도Link")</f>
        <v/>
      </c>
      <c r="R427" s="6">
        <f>HYPERLINK("http://www.eum.go.kr/web/ar/lu/luLandDet.jsp?pnu=3611033021104630010&amp;isNoScr=script&amp;mode=search",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212.4</v>
      </c>
      <c r="V427" s="4" t="n">
        <v>932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소로한면</t>
        </is>
      </c>
    </row>
    <row r="428">
      <c r="A428" s="3" t="inlineStr">
        <is>
          <t>부강면 부강리 463-10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300</v>
      </c>
      <c r="H428" s="4" t="n">
        <v>50</v>
      </c>
      <c r="I428" s="4" t="n">
        <v>45</v>
      </c>
      <c r="J428" s="4" t="n">
        <v>14</v>
      </c>
      <c r="K428" s="5" t="n">
        <v>3.6</v>
      </c>
      <c r="L428" s="4" t="n">
        <v>33</v>
      </c>
      <c r="M428" s="4" t="n">
        <v>10</v>
      </c>
      <c r="N428" s="5" t="n">
        <v>5</v>
      </c>
      <c r="O428" s="3" t="inlineStr">
        <is>
          <t>편의시설 초근접 풀옵션 1.5룸</t>
        </is>
      </c>
      <c r="P428" s="6">
        <f>HYPERLINK("https://fin.land.naver.com/articles/2652929725", "매물Link")</f>
        <v/>
      </c>
      <c r="Q428" s="6">
        <f>HYPERLINK("https://map.naver.com/p/search/부강면 부강리 463-10", "지도Link")</f>
        <v/>
      </c>
      <c r="R428" s="6">
        <f>HYPERLINK("http://www.eum.go.kr/web/ar/lu/luLandDet.jsp?pnu=3611033021104630010&amp;isNoScr=script&amp;mode=search",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212.4</v>
      </c>
      <c r="V428" s="4" t="n">
        <v>932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39</v>
      </c>
      <c r="J429" s="4" t="n">
        <v>12</v>
      </c>
      <c r="K429" s="5" t="n">
        <v>9583.299999999999</v>
      </c>
      <c r="L429" s="4" t="n">
        <v>182</v>
      </c>
      <c r="M429" s="4" t="n">
        <v>55</v>
      </c>
      <c r="N429" s="5" t="n">
        <v>2090.9</v>
      </c>
      <c r="O429" s="3" t="inlineStr">
        <is>
          <t>세종빌 특가 매물 빠른 계약 추천</t>
        </is>
      </c>
      <c r="P429" s="6">
        <f>HYPERLINK("https://fin.land.naver.com/articles/2653282559",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SK</t>
        </is>
      </c>
      <c r="T429" s="4" t="n">
        <v>1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482-1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115000</v>
      </c>
      <c r="H430" s="4" t="n">
        <v>0</v>
      </c>
      <c r="I430" s="4" t="n">
        <v>284</v>
      </c>
      <c r="J430" s="4" t="n">
        <v>86</v>
      </c>
      <c r="K430" s="5" t="n">
        <v>1337.2</v>
      </c>
      <c r="L430" s="4" t="n">
        <v>565</v>
      </c>
      <c r="M430" s="4" t="n">
        <v>171</v>
      </c>
      <c r="N430" s="5" t="n">
        <v>672.5</v>
      </c>
      <c r="O430" s="3" t="inlineStr">
        <is>
          <t>부강초 인근 수익률 좋은 수익형 건물로 관리 잘된 다가구주택 매매이예요</t>
        </is>
      </c>
      <c r="P430" s="6">
        <f>HYPERLINK("https://fin.land.naver.com/articles/2654862528", "매물Link")</f>
        <v/>
      </c>
      <c r="Q430" s="6">
        <f>HYPERLINK("https://map.naver.com/p/search/부강면 부강리 482-1", "지도Link")</f>
        <v/>
      </c>
      <c r="R430" s="6">
        <f>HYPERLINK("http://www.eum.go.kr/web/ar/lu/luLandDet.jsp?pnu=3611033021104820001&amp;isNoScr=script&amp;mode=search", "토지이음")</f>
        <v/>
      </c>
      <c r="S430" s="3" t="inlineStr">
        <is>
          <t>4989명품</t>
        </is>
      </c>
      <c r="T430" s="4" t="n">
        <v>2</v>
      </c>
      <c r="U430" s="5" t="n">
        <v>359.3</v>
      </c>
      <c r="V430" s="4" t="n">
        <v>284</v>
      </c>
      <c r="W430" s="3" t="inlineStr">
        <is>
          <t>지정되지않음</t>
        </is>
      </c>
      <c r="X430" s="3" t="inlineStr">
        <is>
          <t>상업기타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소로한면</t>
        </is>
      </c>
    </row>
    <row r="431">
      <c r="A431" s="3" t="inlineStr">
        <is>
          <t>부강면 부강리 580-13</t>
        </is>
      </c>
      <c r="B431" s="3" t="inlineStr">
        <is>
          <t>생산녹지지역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빌라</t>
        </is>
      </c>
      <c r="F431" s="3" t="inlineStr">
        <is>
          <t>월세</t>
        </is>
      </c>
      <c r="G431" s="4" t="n">
        <v>300</v>
      </c>
      <c r="H431" s="4" t="n">
        <v>48</v>
      </c>
      <c r="I431" s="4" t="n">
        <v>40</v>
      </c>
      <c r="J431" s="4" t="n">
        <v>12</v>
      </c>
      <c r="K431" s="5" t="n">
        <v>4</v>
      </c>
      <c r="L431" s="4" t="n">
        <v>27</v>
      </c>
      <c r="M431" s="4" t="n">
        <v>8</v>
      </c>
      <c r="N431" s="5" t="n">
        <v>6</v>
      </c>
      <c r="O431" s="3" t="inlineStr">
        <is>
          <t>지원l첫입주 1룸l완전신상l즉시입주l남동향l수납장대박</t>
        </is>
      </c>
      <c r="P431" s="6">
        <f>HYPERLINK("https://fin.land.naver.com/articles/2654883258", "매물Link")</f>
        <v/>
      </c>
      <c r="Q431" s="6">
        <f>HYPERLINK("https://map.naver.com/p/search/부강면 부강리 580-13", "지도Link")</f>
        <v/>
      </c>
      <c r="R431" s="6">
        <f>HYPERLINK("http://www.eum.go.kr/web/ar/lu/luLandDet.jsp?pnu=3611033021105800013&amp;isNoScr=script&amp;mode=search", "토지이음")</f>
        <v/>
      </c>
      <c r="S431" s="3" t="inlineStr">
        <is>
          <t>지원</t>
        </is>
      </c>
      <c r="T431" s="4" t="n">
        <v>1</v>
      </c>
      <c r="U431" s="5" t="n">
        <v>175.5</v>
      </c>
      <c r="V431" s="4" t="n">
        <v>1550</v>
      </c>
      <c r="W431" s="3" t="inlineStr">
        <is>
          <t>지정되지않음</t>
        </is>
      </c>
      <c r="X431" s="3" t="inlineStr">
        <is>
          <t>연립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200</v>
      </c>
      <c r="H434" s="4" t="n">
        <v>38</v>
      </c>
      <c r="I434" s="4" t="n">
        <v>30</v>
      </c>
      <c r="J434" s="4" t="n">
        <v>9</v>
      </c>
      <c r="K434" s="5" t="n">
        <v>4.2</v>
      </c>
      <c r="L434" s="4" t="n">
        <v>22</v>
      </c>
      <c r="M434" s="4" t="n">
        <v>7</v>
      </c>
      <c r="N434" s="5" t="n">
        <v>5.4</v>
      </c>
      <c r="O434" s="3" t="inlineStr">
        <is>
          <t>주차공간이 종흔 풀옵션 원룸</t>
        </is>
      </c>
      <c r="P434" s="6">
        <f>HYPERLINK("https://fin.land.naver.com/articles/2652929900",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단기임대</t>
        </is>
      </c>
      <c r="G435" s="4" t="n">
        <v>100</v>
      </c>
      <c r="H435" s="4" t="n">
        <v>60</v>
      </c>
      <c r="I435" s="4" t="n">
        <v>38</v>
      </c>
      <c r="J435" s="4" t="n">
        <v>11</v>
      </c>
      <c r="K435" s="5" t="n">
        <v>9.1</v>
      </c>
      <c r="L435" s="4" t="n">
        <v>33</v>
      </c>
      <c r="M435" s="4" t="n">
        <v>10</v>
      </c>
      <c r="N435" s="5" t="n">
        <v>10</v>
      </c>
      <c r="O435" s="3" t="inlineStr">
        <is>
          <t>풀옵션 1.5룸 단기임대</t>
        </is>
      </c>
      <c r="P435" s="6">
        <f>HYPERLINK("https://fin.land.naver.com/articles/2654096390",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970-11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55</v>
      </c>
      <c r="I436" s="4" t="n">
        <v>50</v>
      </c>
      <c r="J436" s="4" t="n">
        <v>15</v>
      </c>
      <c r="K436" s="5" t="n">
        <v>3.7</v>
      </c>
      <c r="L436" s="4" t="n">
        <v>40</v>
      </c>
      <c r="M436" s="4" t="n">
        <v>12</v>
      </c>
      <c r="N436" s="5" t="n">
        <v>4.6</v>
      </c>
      <c r="O436" s="3" t="inlineStr">
        <is>
          <t>지원l편세권.5룸lo멋진인테리어o위치최상</t>
        </is>
      </c>
      <c r="P436" s="6">
        <f>HYPERLINK("https://fin.land.naver.com/articles/2650948792", "매물Link")</f>
        <v/>
      </c>
      <c r="Q436" s="6">
        <f>HYPERLINK("https://map.naver.com/p/search/부강면 부강리 970-11", "지도Link")</f>
        <v/>
      </c>
      <c r="R436" s="6">
        <f>HYPERLINK("http://www.eum.go.kr/web/ar/lu/luLandDet.jsp?pnu=3611033021109700011&amp;isNoScr=script&amp;mode=search", "토지이음")</f>
        <v/>
      </c>
      <c r="S436" s="3" t="inlineStr">
        <is>
          <t>지원</t>
        </is>
      </c>
      <c r="T436" s="4" t="n">
        <v>1</v>
      </c>
      <c r="U436" s="5" t="n">
        <v>212.9</v>
      </c>
      <c r="V436" s="4" t="n">
        <v>392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부강리 970-2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150000</v>
      </c>
      <c r="H437" s="4" t="n">
        <v>0</v>
      </c>
      <c r="I437" s="4" t="n">
        <v>401</v>
      </c>
      <c r="J437" s="4" t="n">
        <v>121</v>
      </c>
      <c r="K437" s="5" t="n">
        <v>1239.7</v>
      </c>
      <c r="L437" s="4" t="n">
        <v>597</v>
      </c>
      <c r="M437" s="4" t="n">
        <v>181</v>
      </c>
      <c r="N437" s="5" t="n">
        <v>828.7</v>
      </c>
      <c r="O437" s="3" t="inlineStr">
        <is>
          <t>nan</t>
        </is>
      </c>
      <c r="P437" s="6">
        <f>HYPERLINK("https://fin.land.naver.com/articles/2655984103", "매물Link")</f>
        <v/>
      </c>
      <c r="Q437" s="6">
        <f>HYPERLINK("https://map.naver.com/p/search/부강면 부강리 970-2", "지도Link")</f>
        <v/>
      </c>
      <c r="R437" s="6">
        <f>HYPERLINK("http://www.eum.go.kr/web/ar/lu/luLandDet.jsp?pnu=3611033021109700002&amp;isNoScr=script&amp;mode=search", "토지이음")</f>
        <v/>
      </c>
      <c r="S437" s="3" t="inlineStr">
        <is>
          <t>성훈</t>
        </is>
      </c>
      <c r="T437" s="4" t="n">
        <v>1</v>
      </c>
      <c r="U437" s="5" t="n">
        <v>204.4</v>
      </c>
      <c r="V437" s="4" t="n">
        <v>401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부강면 부강리 971-5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500</v>
      </c>
      <c r="H438" s="4" t="n">
        <v>50</v>
      </c>
      <c r="I438" s="4" t="n">
        <v>40</v>
      </c>
      <c r="J438" s="4" t="n">
        <v>12</v>
      </c>
      <c r="K438" s="5" t="n">
        <v>4.2</v>
      </c>
      <c r="L438" s="4" t="n">
        <v>33</v>
      </c>
      <c r="M438" s="4" t="n">
        <v>10</v>
      </c>
      <c r="N438" s="5" t="n">
        <v>5</v>
      </c>
      <c r="O438" s="3" t="inlineStr">
        <is>
          <t>신축급 풀옵션 1.5룸</t>
        </is>
      </c>
      <c r="P438" s="6">
        <f>HYPERLINK("https://fin.land.naver.com/articles/2653297083", "매물Link")</f>
        <v/>
      </c>
      <c r="Q438" s="6">
        <f>HYPERLINK("https://map.naver.com/p/search/부강면 부강리 971-5", "지도Link")</f>
        <v/>
      </c>
      <c r="R438" s="6">
        <f>HYPERLINK("http://www.eum.go.kr/web/ar/lu/luLandDet.jsp?pnu=3611033021109710005&amp;isNoScr=script&amp;mode=search", "토지이음")</f>
        <v/>
      </c>
      <c r="S438" s="3" t="inlineStr">
        <is>
          <t>세종시</t>
        </is>
      </c>
      <c r="T438" s="4" t="n">
        <v>1</v>
      </c>
      <c r="U438" s="5" t="n">
        <v>230</v>
      </c>
      <c r="V438" s="4" t="n">
        <v>390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세로각지(가)</t>
        </is>
      </c>
    </row>
    <row r="439">
      <c r="A439" s="3" t="inlineStr">
        <is>
          <t>부강면 부강리 972-14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65000</v>
      </c>
      <c r="H439" s="4" t="n">
        <v>0</v>
      </c>
      <c r="I439" s="4" t="n">
        <v>313</v>
      </c>
      <c r="J439" s="4" t="n">
        <v>95</v>
      </c>
      <c r="K439" s="5" t="n">
        <v>684.2</v>
      </c>
      <c r="L439" s="4" t="n">
        <v>577</v>
      </c>
      <c r="M439" s="4" t="n">
        <v>175</v>
      </c>
      <c r="N439" s="5" t="n">
        <v>371.4</v>
      </c>
      <c r="O439" s="3" t="inlineStr">
        <is>
          <t>세종시 다가구 매매.노후 생활자금. 공실걱정 노노.건물주 될수있는 찬스</t>
        </is>
      </c>
      <c r="P439" s="6">
        <f>HYPERLINK("https://fin.land.naver.com/articles/2656283593", "매물Link")</f>
        <v/>
      </c>
      <c r="Q439" s="6">
        <f>HYPERLINK("https://map.naver.com/p/search/부강면 부강리 972-14", "지도Link")</f>
        <v/>
      </c>
      <c r="R439" s="6">
        <f>HYPERLINK("http://www.eum.go.kr/web/ar/lu/luLandDet.jsp?pnu=3611033021109720014&amp;isNoScr=script&amp;mode=search", "토지이음")</f>
        <v/>
      </c>
      <c r="S439" s="3" t="inlineStr">
        <is>
          <t>유성대박</t>
        </is>
      </c>
      <c r="T439" s="4" t="n">
        <v>1</v>
      </c>
      <c r="U439" s="5" t="n">
        <v>212.9</v>
      </c>
      <c r="V439" s="4" t="n">
        <v>313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전세</t>
        </is>
      </c>
      <c r="G441" s="4" t="n">
        <v>80000</v>
      </c>
      <c r="H441" s="4" t="n">
        <v>0</v>
      </c>
      <c r="I441" s="4" t="n">
        <v>0</v>
      </c>
      <c r="J441" s="4" t="n">
        <v>0</v>
      </c>
      <c r="K441" s="5" t="n">
        <v>0</v>
      </c>
      <c r="L441" s="4" t="n">
        <v>191</v>
      </c>
      <c r="M441" s="4" t="n">
        <v>58</v>
      </c>
      <c r="N441" s="5" t="n">
        <v>1379.3</v>
      </c>
      <c r="O441" s="3" t="inlineStr">
        <is>
          <t>B타입 남향 맨앞 탁트임 매매도가능 매물전량확보됨</t>
        </is>
      </c>
      <c r="P441" s="6">
        <f>HYPERLINK("https://fin.land.naver.com/articles/2656425278",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1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전세</t>
        </is>
      </c>
      <c r="G442" s="4" t="n">
        <v>85000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190</v>
      </c>
      <c r="M442" s="4" t="n">
        <v>57</v>
      </c>
      <c r="N442" s="5" t="n">
        <v>1491.2</v>
      </c>
      <c r="O442" s="3" t="inlineStr">
        <is>
          <t>3층안방확장. B타입. 남향. 빌트인냉장고. 방3개 욕실3개</t>
        </is>
      </c>
      <c r="P442" s="6">
        <f>HYPERLINK("https://fin.land.naver.com/articles/2655244302",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세종스타</t>
        </is>
      </c>
      <c r="T442" s="4" t="n">
        <v>2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726</v>
      </c>
      <c r="J443" s="4" t="n">
        <v>220</v>
      </c>
      <c r="K443" s="5" t="n">
        <v>363.6</v>
      </c>
      <c r="L443" s="4" t="n">
        <v>191</v>
      </c>
      <c r="M443" s="4" t="n">
        <v>58</v>
      </c>
      <c r="N443" s="5" t="n">
        <v>1379.3</v>
      </c>
      <c r="O443" s="3" t="inlineStr">
        <is>
          <t>B타입 전세8억 즉시입주가능 새롬동 최고위치 타운하우스 학군 좋아요</t>
        </is>
      </c>
      <c r="P443" s="6">
        <f>HYPERLINK("https://fin.land.naver.com/articles/2653150330",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국제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170000</v>
      </c>
      <c r="H444" s="4" t="n">
        <v>0</v>
      </c>
      <c r="I444" s="4" t="n">
        <v>191</v>
      </c>
      <c r="J444" s="4" t="n">
        <v>58</v>
      </c>
      <c r="K444" s="5" t="n">
        <v>2931</v>
      </c>
      <c r="L444" s="4" t="n">
        <v>191</v>
      </c>
      <c r="M444" s="4" t="n">
        <v>58</v>
      </c>
      <c r="N444" s="5" t="n">
        <v>2931</v>
      </c>
      <c r="O444" s="3" t="inlineStr">
        <is>
          <t>전.월세도 가능, 신축 새입주, 개별 엘레베이터, 지하창고</t>
        </is>
      </c>
      <c r="P444" s="6">
        <f>HYPERLINK("https://fin.land.naver.com/articles/2655877417",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명진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144000</v>
      </c>
      <c r="H446" s="4" t="n">
        <v>0</v>
      </c>
      <c r="I446" s="4" t="n">
        <v>215</v>
      </c>
      <c r="J446" s="4" t="n">
        <v>65</v>
      </c>
      <c r="K446" s="5" t="n">
        <v>2215.4</v>
      </c>
      <c r="L446" s="4" t="n">
        <v>190</v>
      </c>
      <c r="M446" s="4" t="n">
        <v>57</v>
      </c>
      <c r="N446" s="5" t="n">
        <v>2526.3</v>
      </c>
      <c r="O446" s="3" t="inlineStr">
        <is>
          <t>급매 원분양가 신축첫입주 남향 선호C타입</t>
        </is>
      </c>
      <c r="P446" s="6">
        <f>HYPERLINK("https://fin.land.naver.com/articles/2656424986",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721</v>
      </c>
      <c r="J448" s="4" t="n">
        <v>218</v>
      </c>
      <c r="K448" s="5" t="n">
        <v>389.9</v>
      </c>
      <c r="L448" s="4" t="n">
        <v>190</v>
      </c>
      <c r="M448" s="4" t="n">
        <v>57</v>
      </c>
      <c r="N448" s="5" t="n">
        <v>1491.2</v>
      </c>
      <c r="O448" s="3" t="inlineStr">
        <is>
          <t>남향,방3개확장,빌트인냉장고,식세기,오븐,아일랜드식탁확장</t>
        </is>
      </c>
      <c r="P448" s="6">
        <f>HYPERLINK("https://fin.land.naver.com/articles/2654596868",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147000</v>
      </c>
      <c r="H450" s="4" t="n">
        <v>0</v>
      </c>
      <c r="I450" s="4" t="n">
        <v>190</v>
      </c>
      <c r="J450" s="4" t="n">
        <v>57</v>
      </c>
      <c r="K450" s="5" t="n">
        <v>2578.9</v>
      </c>
      <c r="L450" s="4" t="n">
        <v>190</v>
      </c>
      <c r="M450" s="4" t="n">
        <v>57</v>
      </c>
      <c r="N450" s="5" t="n">
        <v>2578.9</v>
      </c>
      <c r="O450" s="3" t="inlineStr">
        <is>
          <t>A타입, 지하주차장, 신축, 개별 엘레베이터, 입지 굿</t>
        </is>
      </c>
      <c r="P450" s="6">
        <f>HYPERLINK("https://fin.land.naver.com/articles/2652163827",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170000</v>
      </c>
      <c r="H451" s="4" t="n">
        <v>0</v>
      </c>
      <c r="I451" s="4" t="n">
        <v>191</v>
      </c>
      <c r="J451" s="4" t="n">
        <v>58</v>
      </c>
      <c r="K451" s="5" t="n">
        <v>2931</v>
      </c>
      <c r="L451" s="4" t="n">
        <v>191</v>
      </c>
      <c r="M451" s="4" t="n">
        <v>58</v>
      </c>
      <c r="N451" s="5" t="n">
        <v>2931</v>
      </c>
      <c r="O451" s="3" t="inlineStr">
        <is>
          <t>지하주차장, 신축, 개별 엘레베이터, 입지 굿</t>
        </is>
      </c>
      <c r="P451" s="6">
        <f>HYPERLINK("https://fin.land.naver.com/articles/2654050142",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147000</v>
      </c>
      <c r="H453" s="4" t="n">
        <v>0</v>
      </c>
      <c r="I453" s="4" t="n">
        <v>215</v>
      </c>
      <c r="J453" s="4" t="n">
        <v>65</v>
      </c>
      <c r="K453" s="5" t="n">
        <v>2261.5</v>
      </c>
      <c r="L453" s="4" t="n">
        <v>190</v>
      </c>
      <c r="M453" s="4" t="n">
        <v>57</v>
      </c>
      <c r="N453" s="5" t="n">
        <v>2578.9</v>
      </c>
      <c r="O453" s="3" t="inlineStr">
        <is>
          <t>급매원분양가 그대로 매매</t>
        </is>
      </c>
      <c r="P453" s="6">
        <f>HYPERLINK("https://fin.land.naver.com/articles/2653989967",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강아지풀</t>
        </is>
      </c>
      <c r="T453" s="4" t="n">
        <v>3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전세</t>
        </is>
      </c>
      <c r="G454" s="4" t="n">
        <v>100000</v>
      </c>
      <c r="H454" s="4" t="n">
        <v>0</v>
      </c>
      <c r="I454" s="4" t="n">
        <v>197</v>
      </c>
      <c r="J454" s="4" t="n">
        <v>60</v>
      </c>
      <c r="K454" s="5" t="n">
        <v>1666.7</v>
      </c>
      <c r="L454" s="4" t="n">
        <v>190</v>
      </c>
      <c r="M454" s="4" t="n">
        <v>57</v>
      </c>
      <c r="N454" s="5" t="n">
        <v>1754.4</v>
      </c>
      <c r="O454" s="3" t="inlineStr">
        <is>
          <t>상권과 교통 ,학군, 최고의 입지</t>
        </is>
      </c>
      <c r="P454" s="6">
        <f>HYPERLINK("https://fin.land.naver.com/articles/2653938563",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해밀마을공간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월세</t>
        </is>
      </c>
      <c r="G456" s="4" t="n">
        <v>20000</v>
      </c>
      <c r="H456" s="4" t="n">
        <v>350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6.1</v>
      </c>
      <c r="O456" s="3" t="inlineStr">
        <is>
          <t>남향 선호타입 융자없음 매물전량확보중</t>
        </is>
      </c>
      <c r="P456" s="6">
        <f>HYPERLINK("https://fin.land.naver.com/articles/2653176709",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월세</t>
        </is>
      </c>
      <c r="G457" s="4" t="n">
        <v>20000</v>
      </c>
      <c r="H457" s="4" t="n">
        <v>350</v>
      </c>
      <c r="I457" s="4" t="n">
        <v>0</v>
      </c>
      <c r="J457" s="4" t="n">
        <v>0</v>
      </c>
      <c r="K457" s="5" t="n">
        <v>0</v>
      </c>
      <c r="L457" s="4" t="n">
        <v>190</v>
      </c>
      <c r="M457" s="4" t="n">
        <v>57</v>
      </c>
      <c r="N457" s="5" t="n">
        <v>6.1</v>
      </c>
      <c r="O457" s="3" t="inlineStr">
        <is>
          <t>A타입 남서향 상가 마트 인근 매매도가능</t>
        </is>
      </c>
      <c r="P457" s="6">
        <f>HYPERLINK("https://fin.land.naver.com/articles/2653159507",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세종스타</t>
        </is>
      </c>
      <c r="T457" s="4" t="n">
        <v>2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단독</t>
        </is>
      </c>
      <c r="F458" s="3" t="inlineStr">
        <is>
          <t>월세</t>
        </is>
      </c>
      <c r="G458" s="4" t="n">
        <v>10000</v>
      </c>
      <c r="H458" s="4" t="n">
        <v>380</v>
      </c>
      <c r="I458" s="4" t="n">
        <v>0</v>
      </c>
      <c r="J458" s="4" t="n">
        <v>0</v>
      </c>
      <c r="K458" s="5" t="n">
        <v>0</v>
      </c>
      <c r="L458" s="4" t="n">
        <v>191</v>
      </c>
      <c r="M458" s="4" t="n">
        <v>58</v>
      </c>
      <c r="N458" s="5" t="n">
        <v>6.6</v>
      </c>
      <c r="O458" s="3" t="inlineStr">
        <is>
          <t>매매, 전세도 가능, 신축, 엘레베이터, 입지 굿</t>
        </is>
      </c>
      <c r="P458" s="6">
        <f>HYPERLINK("https://fin.land.naver.com/articles/2654049514",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721</v>
      </c>
      <c r="J459" s="4" t="n">
        <v>218</v>
      </c>
      <c r="K459" s="5" t="n">
        <v>367</v>
      </c>
      <c r="L459" s="4" t="n">
        <v>190</v>
      </c>
      <c r="M459" s="4" t="n">
        <v>57</v>
      </c>
      <c r="N459" s="5" t="n">
        <v>1403.5</v>
      </c>
      <c r="O459" s="3" t="inlineStr">
        <is>
          <t>nan</t>
        </is>
      </c>
      <c r="P459" s="6">
        <f>HYPERLINK("https://fin.land.naver.com/articles/2653151181",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국제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85000</v>
      </c>
      <c r="H460" s="4" t="n">
        <v>0</v>
      </c>
      <c r="I460" s="4" t="n">
        <v>197</v>
      </c>
      <c r="J460" s="4" t="n">
        <v>60</v>
      </c>
      <c r="K460" s="5" t="n">
        <v>1416.7</v>
      </c>
      <c r="L460" s="4" t="n">
        <v>197</v>
      </c>
      <c r="M460" s="4" t="n">
        <v>60</v>
      </c>
      <c r="N460" s="5" t="n">
        <v>1416.7</v>
      </c>
      <c r="O460" s="3" t="inlineStr">
        <is>
          <t>산조망 58B1타입 인기좋은 타입</t>
        </is>
      </c>
      <c r="P460" s="6">
        <f>HYPERLINK("https://fin.land.naver.com/articles/2656313644",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강아지풀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1403.5</v>
      </c>
      <c r="O461" s="3" t="inlineStr">
        <is>
          <t>냠항 B타입 융자무 매물전량확보중</t>
        </is>
      </c>
      <c r="P461" s="6">
        <f>HYPERLINK("https://fin.land.naver.com/articles/2656123332",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소정면 고등리 366-1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1</t>
        </is>
      </c>
      <c r="E462" s="3" t="inlineStr">
        <is>
          <t>전원주택</t>
        </is>
      </c>
      <c r="F462" s="3" t="inlineStr">
        <is>
          <t>월세</t>
        </is>
      </c>
      <c r="G462" s="4" t="n">
        <v>2000</v>
      </c>
      <c r="H462" s="4" t="n">
        <v>70</v>
      </c>
      <c r="I462" s="4" t="n">
        <v>2727</v>
      </c>
      <c r="J462" s="4" t="n">
        <v>825</v>
      </c>
      <c r="K462" s="5" t="n">
        <v>0.1</v>
      </c>
      <c r="L462" s="4" t="n">
        <v>62</v>
      </c>
      <c r="M462" s="4" t="n">
        <v>19</v>
      </c>
      <c r="N462" s="5" t="n">
        <v>3.7</v>
      </c>
      <c r="O462" s="3" t="inlineStr">
        <is>
          <t>nan</t>
        </is>
      </c>
      <c r="P462" s="6">
        <f>HYPERLINK("https://fin.land.naver.com/articles/2656217038", "매물Link")</f>
        <v/>
      </c>
      <c r="Q462" s="6">
        <f>HYPERLINK("https://map.naver.com/p/search/소정면 고등리 366-1", "지도Link")</f>
        <v/>
      </c>
      <c r="R462" s="6">
        <f>HYPERLINK("http://www.eum.go.kr/web/ar/lu/luLandDet.jsp?pnu=3611039024103660001&amp;isNoScr=script&amp;mode=search", "토지이음")</f>
        <v/>
      </c>
      <c r="S462" s="3" t="inlineStr">
        <is>
          <t>북세종</t>
        </is>
      </c>
      <c r="T462" s="4" t="n">
        <v>1</v>
      </c>
      <c r="U462" s="5" t="n">
        <v>32.3</v>
      </c>
      <c r="V462" s="4" t="n">
        <v>2727</v>
      </c>
      <c r="W462" s="3" t="inlineStr">
        <is>
          <t>지정되지않음</t>
        </is>
      </c>
      <c r="X462" s="3" t="inlineStr">
        <is>
          <t>전축사</t>
        </is>
      </c>
      <c r="Y462" s="3" t="inlineStr">
        <is>
          <t>완경사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소정면 대곡리 408-1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상가주택</t>
        </is>
      </c>
      <c r="F463" s="3" t="inlineStr">
        <is>
          <t>매매</t>
        </is>
      </c>
      <c r="G463" s="4" t="n">
        <v>40000</v>
      </c>
      <c r="H463" s="4" t="n">
        <v>0</v>
      </c>
      <c r="I463" s="4" t="n">
        <v>622</v>
      </c>
      <c r="J463" s="4" t="n">
        <v>188</v>
      </c>
      <c r="K463" s="5" t="n">
        <v>212.8</v>
      </c>
      <c r="L463" s="4" t="n">
        <v>251</v>
      </c>
      <c r="M463" s="4" t="n">
        <v>76</v>
      </c>
      <c r="N463" s="5" t="n">
        <v>526.3</v>
      </c>
      <c r="O463" s="3" t="inlineStr">
        <is>
          <t>소정면 대곡리 상가주택매매   1층상가 2층 단독주택</t>
        </is>
      </c>
      <c r="P463" s="6">
        <f>HYPERLINK("https://fin.land.naver.com/articles/2651019641", "매물Link")</f>
        <v/>
      </c>
      <c r="Q463" s="6">
        <f>HYPERLINK("https://map.naver.com/p/search/소정면 대곡리 408-1", "지도Link")</f>
        <v/>
      </c>
      <c r="R463" s="6">
        <f>HYPERLINK("http://www.eum.go.kr/web/ar/lu/luLandDet.jsp?pnu=3611039023104080001&amp;isNoScr=script&amp;mode=search", "토지이음")</f>
        <v/>
      </c>
      <c r="S463" s="3" t="inlineStr">
        <is>
          <t>대원칸타빌</t>
        </is>
      </c>
      <c r="T463" s="4" t="n">
        <v>1</v>
      </c>
      <c r="U463" s="5" t="n">
        <v>49.5</v>
      </c>
      <c r="V463" s="4" t="n">
        <v>622</v>
      </c>
      <c r="W463" s="3" t="inlineStr">
        <is>
          <t>지정되지않음</t>
        </is>
      </c>
      <c r="X463" s="3" t="inlineStr">
        <is>
          <t>주거기타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소정면 대곡리 466-1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10000</v>
      </c>
      <c r="H464" s="4" t="n">
        <v>0</v>
      </c>
      <c r="I464" s="4" t="n">
        <v>84</v>
      </c>
      <c r="J464" s="4" t="n">
        <v>25</v>
      </c>
      <c r="K464" s="5" t="n">
        <v>400</v>
      </c>
      <c r="L464" s="4" t="n">
        <v>84</v>
      </c>
      <c r="M464" s="4" t="n">
        <v>25</v>
      </c>
      <c r="N464" s="5" t="n">
        <v>400</v>
      </c>
      <c r="O464" s="3" t="inlineStr">
        <is>
          <t>공실  전체리모델링 위치좋아요</t>
        </is>
      </c>
      <c r="P464" s="6">
        <f>HYPERLINK("https://fin.land.naver.com/articles/2655528377", "매물Link")</f>
        <v/>
      </c>
      <c r="Q464" s="6">
        <f>HYPERLINK("https://map.naver.com/p/search/소정면 대곡리 466-1", "지도Link")</f>
        <v/>
      </c>
      <c r="R464" s="6">
        <f>HYPERLINK("http://www.eum.go.kr/web/ar/lu/luLandDet.jsp?pnu=3611039023104660001&amp;isNoScr=script&amp;mode=search", "토지이음")</f>
        <v/>
      </c>
      <c r="S464" s="3" t="inlineStr">
        <is>
          <t>새롬이지</t>
        </is>
      </c>
      <c r="T464" s="4" t="n">
        <v>1</v>
      </c>
      <c r="U464" s="5" t="n">
        <v>52.9</v>
      </c>
      <c r="V464" s="4" t="n">
        <v>449.2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소정면 대곡리 466-1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전원주택</t>
        </is>
      </c>
      <c r="F465" s="3" t="inlineStr">
        <is>
          <t>매매</t>
        </is>
      </c>
      <c r="G465" s="4" t="n">
        <v>14000</v>
      </c>
      <c r="H465" s="4" t="n">
        <v>0</v>
      </c>
      <c r="I465" s="4" t="n">
        <v>449</v>
      </c>
      <c r="J465" s="4" t="n">
        <v>136</v>
      </c>
      <c r="K465" s="5" t="n">
        <v>102.9</v>
      </c>
      <c r="L465" s="4" t="n">
        <v>86</v>
      </c>
      <c r="M465" s="4" t="n">
        <v>26</v>
      </c>
      <c r="N465" s="5" t="n">
        <v>538.5</v>
      </c>
      <c r="O465" s="3" t="inlineStr">
        <is>
          <t>사진o 올수리 단독주택 급매, 주차편리, 즉시입주</t>
        </is>
      </c>
      <c r="P465" s="6">
        <f>HYPERLINK("https://fin.land.naver.com/articles/2654653606", "매물Link")</f>
        <v/>
      </c>
      <c r="Q465" s="6">
        <f>HYPERLINK("https://map.naver.com/p/search/소정면 대곡리 466-1", "지도Link")</f>
        <v/>
      </c>
      <c r="R465" s="6">
        <f>HYPERLINK("http://www.eum.go.kr/web/ar/lu/luLandDet.jsp?pnu=3611039023104660001&amp;isNoScr=script&amp;mode=search", "토지이음")</f>
        <v/>
      </c>
      <c r="S465" s="3" t="inlineStr">
        <is>
          <t>금빛</t>
        </is>
      </c>
      <c r="T465" s="4" t="n">
        <v>1</v>
      </c>
      <c r="U465" s="5" t="n">
        <v>52.9</v>
      </c>
      <c r="V465" s="4" t="n">
        <v>449.2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소정면 대곡리 466-1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14000</v>
      </c>
      <c r="H466" s="4" t="n">
        <v>0</v>
      </c>
      <c r="I466" s="4" t="n">
        <v>449</v>
      </c>
      <c r="J466" s="4" t="n">
        <v>136</v>
      </c>
      <c r="K466" s="5" t="n">
        <v>102.9</v>
      </c>
      <c r="L466" s="4" t="n">
        <v>86</v>
      </c>
      <c r="M466" s="4" t="n">
        <v>26</v>
      </c>
      <c r="N466" s="5" t="n">
        <v>538.5</v>
      </c>
      <c r="O466" s="3" t="inlineStr">
        <is>
          <t>남천안ic5분거리,넓은텃밭과 별채있는 단독주택 교통편리한 전원생활 강추</t>
        </is>
      </c>
      <c r="P466" s="6">
        <f>HYPERLINK("https://fin.land.naver.com/articles/2652448925", "매물Link")</f>
        <v/>
      </c>
      <c r="Q466" s="6">
        <f>HYPERLINK("https://map.naver.com/p/search/소정면 대곡리 466-1", "지도Link")</f>
        <v/>
      </c>
      <c r="R466" s="6">
        <f>HYPERLINK("http://www.eum.go.kr/web/ar/lu/luLandDet.jsp?pnu=3611039023104660001&amp;isNoScr=script&amp;mode=search", "토지이음")</f>
        <v/>
      </c>
      <c r="S466" s="3" t="inlineStr">
        <is>
          <t>효성넘버원</t>
        </is>
      </c>
      <c r="T466" s="4" t="n">
        <v>1</v>
      </c>
      <c r="U466" s="5" t="n">
        <v>52.9</v>
      </c>
      <c r="V466" s="4" t="n">
        <v>449.2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63000</v>
      </c>
      <c r="H468" s="4" t="n">
        <v>0</v>
      </c>
      <c r="I468" s="4" t="n">
        <v>486</v>
      </c>
      <c r="J468" s="4" t="n">
        <v>147</v>
      </c>
      <c r="K468" s="5" t="n">
        <v>428.6</v>
      </c>
      <c r="L468" s="4" t="n">
        <v>197</v>
      </c>
      <c r="M468" s="4" t="n">
        <v>60</v>
      </c>
      <c r="N468" s="5" t="n">
        <v>1050</v>
      </c>
      <c r="O468" s="3" t="inlineStr">
        <is>
          <t>천안에 가까운 전원생활이 가능한 집 내진설계 건축 6년차</t>
        </is>
      </c>
      <c r="P468" s="6">
        <f>HYPERLINK("https://fin.land.naver.com/articles/2651727247", "매물Link")</f>
        <v/>
      </c>
      <c r="Q468" s="6">
        <f>HYPERLINK("https://map.naver.com/p/search/소정면 대곡리 466-3", "지도Link")</f>
        <v/>
      </c>
      <c r="R468" s="6">
        <f>HYPERLINK("http://www.eum.go.kr/web/ar/lu/luLandDet.jsp?pnu=3611039023104660003&amp;isNoScr=script&amp;mode=search", "토지이음")</f>
        <v/>
      </c>
      <c r="S468" s="3" t="inlineStr">
        <is>
          <t>OK파라곤</t>
        </is>
      </c>
      <c r="T468" s="4" t="n">
        <v>1</v>
      </c>
      <c r="U468" s="5" t="n">
        <v>55.7</v>
      </c>
      <c r="V468" s="4" t="n">
        <v>486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소정면 소정리 196-28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4</t>
        </is>
      </c>
      <c r="E469" s="3" t="inlineStr">
        <is>
          <t>빌라</t>
        </is>
      </c>
      <c r="F469" s="3" t="inlineStr">
        <is>
          <t>매매</t>
        </is>
      </c>
      <c r="G469" s="4" t="n">
        <v>6500</v>
      </c>
      <c r="H469" s="4" t="n">
        <v>0</v>
      </c>
      <c r="I469" s="4" t="n">
        <v>82</v>
      </c>
      <c r="J469" s="4" t="n">
        <v>25</v>
      </c>
      <c r="K469" s="5" t="n">
        <v>260</v>
      </c>
      <c r="L469" s="4" t="n">
        <v>76</v>
      </c>
      <c r="M469" s="4" t="n">
        <v>23</v>
      </c>
      <c r="N469" s="5" t="n">
        <v>282.6</v>
      </c>
      <c r="O469" s="3" t="inlineStr">
        <is>
          <t>소정역가까운빌라매매  리모델링한 아주깨끗한집 입주협의가능해요</t>
        </is>
      </c>
      <c r="P469" s="6">
        <f>HYPERLINK("https://fin.land.naver.com/articles/2651872623", "매물Link")</f>
        <v/>
      </c>
      <c r="Q469" s="6">
        <f>HYPERLINK("https://map.naver.com/p/search/소정면 소정리 196-28", "지도Link")</f>
        <v/>
      </c>
      <c r="R469" s="6">
        <f>HYPERLINK("http://www.eum.go.kr/web/ar/lu/luLandDet.jsp?pnu=3611039021101960028&amp;isNoScr=script&amp;mode=search", "토지이음")</f>
        <v/>
      </c>
      <c r="S469" s="3" t="inlineStr">
        <is>
          <t>신성미소</t>
        </is>
      </c>
      <c r="T469" s="4" t="n">
        <v>1</v>
      </c>
      <c r="U469" s="5" t="n">
        <v>158.1</v>
      </c>
      <c r="V469" s="4" t="n">
        <v>463</v>
      </c>
      <c r="W469" s="3" t="inlineStr">
        <is>
          <t>지정되지않음</t>
        </is>
      </c>
      <c r="X469" s="3" t="inlineStr">
        <is>
          <t>주상용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중로한면</t>
        </is>
      </c>
    </row>
    <row r="470">
      <c r="A470" s="3" t="inlineStr">
        <is>
          <t>아름동 1046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332</v>
      </c>
      <c r="J470" s="4" t="n">
        <v>100</v>
      </c>
      <c r="K470" s="5" t="n">
        <v>1400</v>
      </c>
      <c r="L470" s="4" t="n">
        <v>165</v>
      </c>
      <c r="M470" s="4" t="n">
        <v>50</v>
      </c>
      <c r="N470" s="5" t="n">
        <v>2800</v>
      </c>
      <c r="O470" s="3" t="inlineStr">
        <is>
          <t>태양광설치, 풀에어컨, 실링팬, 방4개, 화장실3개</t>
        </is>
      </c>
      <c r="P470" s="6">
        <f>HYPERLINK("https://fin.land.naver.com/articles/2652842053", "매물Link")</f>
        <v/>
      </c>
      <c r="Q470" s="6">
        <f>HYPERLINK("https://map.naver.com/p/search/아름동 1046", "지도Link")</f>
        <v/>
      </c>
      <c r="R470" s="6">
        <f>HYPERLINK("http://www.eum.go.kr/web/ar/lu/luLandDet.jsp?pnu=3611011300110460000&amp;isNoScr=script&amp;mode=search",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353.1</v>
      </c>
      <c r="V470" s="4" t="n">
        <v>332.4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1046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33</v>
      </c>
      <c r="J471" s="4" t="n">
        <v>10</v>
      </c>
      <c r="K471" s="5" t="n">
        <v>14000</v>
      </c>
      <c r="L471" s="4" t="n">
        <v>157</v>
      </c>
      <c r="M471" s="4" t="n">
        <v>47</v>
      </c>
      <c r="N471" s="5" t="n">
        <v>2978.7</v>
      </c>
      <c r="O471" s="3" t="inlineStr">
        <is>
          <t>교통편리한 세종 아름동 주택가, 서울세종고속도로,국도1호선, 세종외곽도로</t>
        </is>
      </c>
      <c r="P471" s="6">
        <f>HYPERLINK("https://fin.land.naver.com/articles/2651678765", "매물Link")</f>
        <v/>
      </c>
      <c r="Q471" s="6">
        <f>HYPERLINK("https://map.naver.com/p/search/아름동 1046", "지도Link")</f>
        <v/>
      </c>
      <c r="R471" s="6">
        <f>HYPERLINK("http://www.eum.go.kr/web/ar/lu/luLandDet.jsp?pnu=3611011300110460000&amp;isNoScr=script&amp;mode=search", "토지이음")</f>
        <v/>
      </c>
      <c r="S471" s="3" t="inlineStr">
        <is>
          <t>아름</t>
        </is>
      </c>
      <c r="T471" s="4" t="n">
        <v>1</v>
      </c>
      <c r="U471" s="5" t="n">
        <v>353.1</v>
      </c>
      <c r="V471" s="4" t="n">
        <v>332.4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1046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332</v>
      </c>
      <c r="J472" s="4" t="n">
        <v>100</v>
      </c>
      <c r="K472" s="5" t="n">
        <v>1400</v>
      </c>
      <c r="L472" s="4" t="n">
        <v>165</v>
      </c>
      <c r="M472" s="4" t="n">
        <v>50</v>
      </c>
      <c r="N472" s="5" t="n">
        <v>2800</v>
      </c>
      <c r="O472" s="3" t="inlineStr">
        <is>
          <t>태양광, 방4개, 화장실3개, 각방 에어컨, 실링팬</t>
        </is>
      </c>
      <c r="P472" s="6">
        <f>HYPERLINK("https://fin.land.naver.com/articles/2654227256", "매물Link")</f>
        <v/>
      </c>
      <c r="Q472" s="6">
        <f>HYPERLINK("https://map.naver.com/p/search/아름동 1046", "지도Link")</f>
        <v/>
      </c>
      <c r="R472" s="6">
        <f>HYPERLINK("http://www.eum.go.kr/web/ar/lu/luLandDet.jsp?pnu=3611011300110460000&amp;isNoScr=script&amp;mode=search", "토지이음")</f>
        <v/>
      </c>
      <c r="S472" s="3" t="inlineStr">
        <is>
          <t>명진</t>
        </is>
      </c>
      <c r="T472" s="4" t="n">
        <v>1</v>
      </c>
      <c r="U472" s="5" t="n">
        <v>353.1</v>
      </c>
      <c r="V472" s="4" t="n">
        <v>332.4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1113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105000</v>
      </c>
      <c r="H473" s="4" t="n">
        <v>0</v>
      </c>
      <c r="I473" s="4" t="n">
        <v>327</v>
      </c>
      <c r="J473" s="4" t="n">
        <v>99</v>
      </c>
      <c r="K473" s="5" t="n">
        <v>1060.6</v>
      </c>
      <c r="L473" s="4" t="n">
        <v>149</v>
      </c>
      <c r="M473" s="4" t="n">
        <v>45</v>
      </c>
      <c r="N473" s="5" t="n">
        <v>2333.3</v>
      </c>
      <c r="O473" s="3" t="inlineStr">
        <is>
          <t>정남향 충대병원  단독매매</t>
        </is>
      </c>
      <c r="P473" s="6">
        <f>HYPERLINK("https://fin.land.naver.com/articles/2654518463", "매물Link")</f>
        <v/>
      </c>
      <c r="Q473" s="6">
        <f>HYPERLINK("https://map.naver.com/p/search/아름동 1113", "지도Link")</f>
        <v/>
      </c>
      <c r="R473" s="6">
        <f>HYPERLINK("http://www.eum.go.kr/web/ar/lu/luLandDet.jsp?pnu=3611011300111130000&amp;isNoScr=script&amp;mode=search", "토지이음")</f>
        <v/>
      </c>
      <c r="S473" s="3" t="inlineStr">
        <is>
          <t>THE행복</t>
        </is>
      </c>
      <c r="T473" s="4" t="n">
        <v>1</v>
      </c>
      <c r="U473" s="5" t="n">
        <v>356.4</v>
      </c>
      <c r="V473" s="4" t="n">
        <v>327.5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1148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328</v>
      </c>
      <c r="J474" s="4" t="n">
        <v>99</v>
      </c>
      <c r="K474" s="5" t="n">
        <v>1313.1</v>
      </c>
      <c r="L474" s="4" t="n">
        <v>148</v>
      </c>
      <c r="M474" s="4" t="n">
        <v>45</v>
      </c>
      <c r="N474" s="5" t="n">
        <v>2888.9</v>
      </c>
      <c r="O474" s="3" t="inlineStr">
        <is>
          <t>남향집으로 따뜻한 집 입니다. 입주는 협의 가능하며 가격절충가능합니다.</t>
        </is>
      </c>
      <c r="P474" s="6">
        <f>HYPERLINK("https://fin.land.naver.com/articles/2653236355", "매물Link")</f>
        <v/>
      </c>
      <c r="Q474" s="6">
        <f>HYPERLINK("https://map.naver.com/p/search/아름동 1148", "지도Link")</f>
        <v/>
      </c>
      <c r="R474" s="6">
        <f>HYPERLINK("http://www.eum.go.kr/web/ar/lu/luLandDet.jsp?pnu=3611011300111480000&amp;isNoScr=script&amp;mode=search", "토지이음")</f>
        <v/>
      </c>
      <c r="S474" s="3" t="inlineStr">
        <is>
          <t>주황푸르지오</t>
        </is>
      </c>
      <c r="T474" s="4" t="n">
        <v>1</v>
      </c>
      <c r="U474" s="5" t="n">
        <v>356.4</v>
      </c>
      <c r="V474" s="4" t="n">
        <v>328.7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1148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328</v>
      </c>
      <c r="J475" s="4" t="n">
        <v>99</v>
      </c>
      <c r="K475" s="5" t="n">
        <v>1313.1</v>
      </c>
      <c r="L475" s="4" t="n">
        <v>148</v>
      </c>
      <c r="M475" s="4" t="n">
        <v>45</v>
      </c>
      <c r="N475" s="5" t="n">
        <v>2888.9</v>
      </c>
      <c r="O475" s="3" t="inlineStr">
        <is>
          <t>조율가능 국제고인근 정남향 아이들의 놀이터같은 특색주택</t>
        </is>
      </c>
      <c r="P475" s="6">
        <f>HYPERLINK("https://fin.land.naver.com/articles/2654863236", "매물Link")</f>
        <v/>
      </c>
      <c r="Q475" s="6">
        <f>HYPERLINK("https://map.naver.com/p/search/아름동 1148", "지도Link")</f>
        <v/>
      </c>
      <c r="R475" s="6">
        <f>HYPERLINK("http://www.eum.go.kr/web/ar/lu/luLandDet.jsp?pnu=3611011300111480000&amp;isNoScr=script&amp;mode=search", "토지이음")</f>
        <v/>
      </c>
      <c r="S475" s="3" t="inlineStr">
        <is>
          <t>세종스타</t>
        </is>
      </c>
      <c r="T475" s="4" t="n">
        <v>1</v>
      </c>
      <c r="U475" s="5" t="n">
        <v>356.4</v>
      </c>
      <c r="V475" s="4" t="n">
        <v>328.7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1148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130000</v>
      </c>
      <c r="H476" s="4" t="n">
        <v>0</v>
      </c>
      <c r="I476" s="4" t="n">
        <v>328</v>
      </c>
      <c r="J476" s="4" t="n">
        <v>99</v>
      </c>
      <c r="K476" s="5" t="n">
        <v>1313.1</v>
      </c>
      <c r="L476" s="4" t="n">
        <v>148</v>
      </c>
      <c r="M476" s="4" t="n">
        <v>45</v>
      </c>
      <c r="N476" s="5" t="n">
        <v>2888.9</v>
      </c>
      <c r="O476" s="3" t="inlineStr">
        <is>
          <t>벽난로, 태양광, 정남향으로 가격조율가능한 단독주택</t>
        </is>
      </c>
      <c r="P476" s="6">
        <f>HYPERLINK("https://fin.land.naver.com/articles/2654933365", "매물Link")</f>
        <v/>
      </c>
      <c r="Q476" s="6">
        <f>HYPERLINK("https://map.naver.com/p/search/아름동 1148", "지도Link")</f>
        <v/>
      </c>
      <c r="R476" s="6">
        <f>HYPERLINK("http://www.eum.go.kr/web/ar/lu/luLandDet.jsp?pnu=3611011300111480000&amp;isNoScr=script&amp;mode=search", "토지이음")</f>
        <v/>
      </c>
      <c r="S476" s="3" t="inlineStr">
        <is>
          <t>명진</t>
        </is>
      </c>
      <c r="T476" s="4" t="n">
        <v>2</v>
      </c>
      <c r="U476" s="5" t="n">
        <v>356.4</v>
      </c>
      <c r="V476" s="4" t="n">
        <v>328.7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벽난로. 태양광, 국제고인근 남향. 가격조율 가능한</t>
        </is>
      </c>
      <c r="P477" s="6">
        <f>HYPERLINK("https://fin.land.naver.com/articles/2652825554",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최무연</t>
        </is>
      </c>
      <c r="T477" s="4" t="n">
        <v>1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1224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107000</v>
      </c>
      <c r="H478" s="4" t="n">
        <v>0</v>
      </c>
      <c r="I478" s="4" t="n">
        <v>364</v>
      </c>
      <c r="J478" s="4" t="n">
        <v>110</v>
      </c>
      <c r="K478" s="5" t="n">
        <v>972.7</v>
      </c>
      <c r="L478" s="4" t="n">
        <v>179</v>
      </c>
      <c r="M478" s="4" t="n">
        <v>54</v>
      </c>
      <c r="N478" s="5" t="n">
        <v>1981.5</v>
      </c>
      <c r="O478" s="3" t="inlineStr">
        <is>
          <t>아름초, 입지 좋은 단독주택, 상권이용 편리</t>
        </is>
      </c>
      <c r="P478" s="6">
        <f>HYPERLINK("https://fin.land.naver.com/articles/2654049608", "매물Link")</f>
        <v/>
      </c>
      <c r="Q478" s="6">
        <f>HYPERLINK("https://map.naver.com/p/search/아름동 1224", "지도Link")</f>
        <v/>
      </c>
      <c r="R478" s="6">
        <f>HYPERLINK("http://www.eum.go.kr/web/ar/lu/luLandDet.jsp?pnu=3611011300112240000&amp;isNoScr=script&amp;mode=search",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343.1</v>
      </c>
      <c r="V478" s="4" t="n">
        <v>364.6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1241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140000</v>
      </c>
      <c r="H479" s="4" t="n">
        <v>0</v>
      </c>
      <c r="I479" s="4" t="n">
        <v>353</v>
      </c>
      <c r="J479" s="4" t="n">
        <v>107</v>
      </c>
      <c r="K479" s="5" t="n">
        <v>1308.4</v>
      </c>
      <c r="L479" s="4" t="n">
        <v>160</v>
      </c>
      <c r="M479" s="4" t="n">
        <v>48</v>
      </c>
      <c r="N479" s="5" t="n">
        <v>2916.7</v>
      </c>
      <c r="O479" s="3" t="inlineStr">
        <is>
          <t>주택 에어컨5개 마당있고 편안한 주택매물입니다.</t>
        </is>
      </c>
      <c r="P479" s="6">
        <f>HYPERLINK("https://fin.land.naver.com/articles/2654113974", "매물Link")</f>
        <v/>
      </c>
      <c r="Q479" s="6">
        <f>HYPERLINK("https://map.naver.com/p/search/아름동 1241", "지도Link")</f>
        <v/>
      </c>
      <c r="R479" s="6">
        <f>HYPERLINK("http://www.eum.go.kr/web/ar/lu/luLandDet.jsp?pnu=3611011300112410000&amp;isNoScr=script&amp;mode=search", "토지이음")</f>
        <v/>
      </c>
      <c r="S479" s="3" t="inlineStr">
        <is>
          <t>세석</t>
        </is>
      </c>
      <c r="T479" s="4" t="n">
        <v>1</v>
      </c>
      <c r="U479" s="5" t="n">
        <v>343.1</v>
      </c>
      <c r="V479" s="4" t="n">
        <v>353.2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1241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140000</v>
      </c>
      <c r="H480" s="4" t="n">
        <v>0</v>
      </c>
      <c r="I480" s="4" t="n">
        <v>160</v>
      </c>
      <c r="J480" s="4" t="n">
        <v>48</v>
      </c>
      <c r="K480" s="5" t="n">
        <v>2916.7</v>
      </c>
      <c r="L480" s="4" t="n">
        <v>160</v>
      </c>
      <c r="M480" s="4" t="n">
        <v>48</v>
      </c>
      <c r="N480" s="5" t="n">
        <v>2916.7</v>
      </c>
      <c r="O480" s="3" t="inlineStr">
        <is>
          <t>2층주택, 현재 주인거주로 잘 관리된 집</t>
        </is>
      </c>
      <c r="P480" s="6">
        <f>HYPERLINK("https://fin.land.naver.com/articles/2652794190", "매물Link")</f>
        <v/>
      </c>
      <c r="Q480" s="6">
        <f>HYPERLINK("https://map.naver.com/p/search/아름동 1241", "지도Link")</f>
        <v/>
      </c>
      <c r="R480" s="6">
        <f>HYPERLINK("http://www.eum.go.kr/web/ar/lu/luLandDet.jsp?pnu=3611011300112410000&amp;isNoScr=script&amp;mode=search", "토지이음")</f>
        <v/>
      </c>
      <c r="S480" s="3" t="inlineStr">
        <is>
          <t>강아지풀</t>
        </is>
      </c>
      <c r="T480" s="4" t="n">
        <v>1</v>
      </c>
      <c r="U480" s="5" t="n">
        <v>343.1</v>
      </c>
      <c r="V480" s="4" t="n">
        <v>353.2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1241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145000</v>
      </c>
      <c r="H481" s="4" t="n">
        <v>0</v>
      </c>
      <c r="I481" s="4" t="n">
        <v>353</v>
      </c>
      <c r="J481" s="4" t="n">
        <v>107</v>
      </c>
      <c r="K481" s="5" t="n">
        <v>1355.1</v>
      </c>
      <c r="L481" s="4" t="n">
        <v>160</v>
      </c>
      <c r="M481" s="4" t="n">
        <v>48</v>
      </c>
      <c r="N481" s="5" t="n">
        <v>3020.8</v>
      </c>
      <c r="O481" s="3" t="inlineStr">
        <is>
          <t>정원있는 조용한 전원주택 매매</t>
        </is>
      </c>
      <c r="P481" s="6">
        <f>HYPERLINK("https://fin.land.naver.com/articles/2656322024", "매물Link")</f>
        <v/>
      </c>
      <c r="Q481" s="6">
        <f>HYPERLINK("https://map.naver.com/p/search/아름동 1241", "지도Link")</f>
        <v/>
      </c>
      <c r="R481" s="6">
        <f>HYPERLINK("http://www.eum.go.kr/web/ar/lu/luLandDet.jsp?pnu=3611011300112410000&amp;isNoScr=script&amp;mode=search", "토지이음")</f>
        <v/>
      </c>
      <c r="S481" s="3" t="inlineStr">
        <is>
          <t>인서</t>
        </is>
      </c>
      <c r="T481" s="4" t="n">
        <v>1</v>
      </c>
      <c r="U481" s="5" t="n">
        <v>343.1</v>
      </c>
      <c r="V481" s="4" t="n">
        <v>353.2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전용 48.6p, 1.2층 단독주택, 시스템에어컨풀, 협의입주</t>
        </is>
      </c>
      <c r="P482" s="6">
        <f>HYPERLINK("https://fin.land.naver.com/articles/2654893215",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명진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353</v>
      </c>
      <c r="J483" s="4" t="n">
        <v>107</v>
      </c>
      <c r="K483" s="5" t="n">
        <v>1308.4</v>
      </c>
      <c r="L483" s="4" t="n">
        <v>160</v>
      </c>
      <c r="M483" s="4" t="n">
        <v>48</v>
      </c>
      <c r="N483" s="5" t="n">
        <v>2916.7</v>
      </c>
      <c r="O483" s="3" t="inlineStr">
        <is>
          <t>시스템에어컨풀, 주인거주, 협의입주, 1.2층 단독주택</t>
        </is>
      </c>
      <c r="P483" s="6">
        <f>HYPERLINK("https://fin.land.naver.com/articles/2652838554",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세종무지개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전원주택</t>
        </is>
      </c>
      <c r="F484" s="3" t="inlineStr">
        <is>
          <t>매매</t>
        </is>
      </c>
      <c r="G484" s="4" t="n">
        <v>145000</v>
      </c>
      <c r="H484" s="4" t="n">
        <v>0</v>
      </c>
      <c r="I484" s="4" t="n">
        <v>353</v>
      </c>
      <c r="J484" s="4" t="n">
        <v>107</v>
      </c>
      <c r="K484" s="5" t="n">
        <v>1355.1</v>
      </c>
      <c r="L484" s="4" t="n">
        <v>160</v>
      </c>
      <c r="M484" s="4" t="n">
        <v>48</v>
      </c>
      <c r="N484" s="5" t="n">
        <v>3020.8</v>
      </c>
      <c r="O484" s="3" t="inlineStr">
        <is>
          <t>튼튼하게 지어진 집   교통편리 정남향</t>
        </is>
      </c>
      <c r="P484" s="6">
        <f>HYPERLINK("https://fin.land.naver.com/articles/2652845581",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세종푸르지오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1408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303</v>
      </c>
      <c r="J485" s="4" t="n">
        <v>92</v>
      </c>
      <c r="K485" s="5" t="n">
        <v>1576.1</v>
      </c>
      <c r="L485" s="4" t="n">
        <v>204</v>
      </c>
      <c r="M485" s="4" t="n">
        <v>62</v>
      </c>
      <c r="N485" s="5" t="n">
        <v>2338.7</v>
      </c>
      <c r="O485" s="3" t="inlineStr">
        <is>
          <t>남향에 위치 좋은집  분리세대로 2층 시스탬에어컨2대 설치 협의 입주</t>
        </is>
      </c>
      <c r="P485" s="6">
        <f>HYPERLINK("https://fin.land.naver.com/articles/2655833108", "매물Link")</f>
        <v/>
      </c>
      <c r="Q485" s="6">
        <f>HYPERLINK("https://map.naver.com/p/search/아름동 1408", "지도Link")</f>
        <v/>
      </c>
      <c r="R485" s="6">
        <f>HYPERLINK("http://www.eum.go.kr/web/ar/lu/luLandDet.jsp?pnu=3611011300114080000&amp;isNoScr=script&amp;mode=search", "토지이음")</f>
        <v/>
      </c>
      <c r="S485" s="3" t="inlineStr">
        <is>
          <t>주황푸르지오</t>
        </is>
      </c>
      <c r="T485" s="4" t="n">
        <v>1</v>
      </c>
      <c r="U485" s="5" t="n">
        <v>338.2</v>
      </c>
      <c r="V485" s="4" t="n">
        <v>303.7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소로한면</t>
        </is>
      </c>
    </row>
    <row r="486">
      <c r="A486" s="3" t="inlineStr">
        <is>
          <t>아름동 856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135000</v>
      </c>
      <c r="H486" s="4" t="n">
        <v>0</v>
      </c>
      <c r="I486" s="4" t="n">
        <v>285</v>
      </c>
      <c r="J486" s="4" t="n">
        <v>86</v>
      </c>
      <c r="K486" s="5" t="n">
        <v>1569.8</v>
      </c>
      <c r="L486" s="4" t="n">
        <v>178</v>
      </c>
      <c r="M486" s="4" t="n">
        <v>54</v>
      </c>
      <c r="N486" s="5" t="n">
        <v>2500</v>
      </c>
      <c r="O486" s="3" t="inlineStr">
        <is>
          <t>최근 리모델링한 단독주택 매매, 방3개, 욕실2개</t>
        </is>
      </c>
      <c r="P486" s="6">
        <f>HYPERLINK("https://fin.land.naver.com/articles/2654874588", "매물Link")</f>
        <v/>
      </c>
      <c r="Q486" s="6">
        <f>HYPERLINK("https://map.naver.com/p/search/아름동 856", "지도Link")</f>
        <v/>
      </c>
      <c r="R486" s="6">
        <f>HYPERLINK("http://www.eum.go.kr/web/ar/lu/luLandDet.jsp?pnu=3611011300108560000&amp;isNoScr=script&amp;mode=search", "토지이음")</f>
        <v/>
      </c>
      <c r="S486" s="3" t="inlineStr">
        <is>
          <t>명진</t>
        </is>
      </c>
      <c r="T486" s="4" t="n">
        <v>1</v>
      </c>
      <c r="U486" s="5" t="n">
        <v>356.7</v>
      </c>
      <c r="V486" s="4" t="n">
        <v>285.9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정방형</t>
        </is>
      </c>
      <c r="AA486" s="3" t="inlineStr">
        <is>
          <t>소로각지</t>
        </is>
      </c>
    </row>
    <row r="487">
      <c r="A487" s="3" t="inlineStr">
        <is>
          <t>아름동 856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135000</v>
      </c>
      <c r="H487" s="4" t="n">
        <v>0</v>
      </c>
      <c r="I487" s="4" t="n">
        <v>285</v>
      </c>
      <c r="J487" s="4" t="n">
        <v>86</v>
      </c>
      <c r="K487" s="5" t="n">
        <v>1569.8</v>
      </c>
      <c r="L487" s="4" t="n">
        <v>178</v>
      </c>
      <c r="M487" s="4" t="n">
        <v>54</v>
      </c>
      <c r="N487" s="5" t="n">
        <v>2500</v>
      </c>
      <c r="O487" s="3" t="inlineStr">
        <is>
          <t>올리모델링 방3개 욕실3개 시스템에어컨5대 조율가능</t>
        </is>
      </c>
      <c r="P487" s="6">
        <f>HYPERLINK("https://fin.land.naver.com/articles/2655177366", "매물Link")</f>
        <v/>
      </c>
      <c r="Q487" s="6">
        <f>HYPERLINK("https://map.naver.com/p/search/아름동 856", "지도Link")</f>
        <v/>
      </c>
      <c r="R487" s="6">
        <f>HYPERLINK("http://www.eum.go.kr/web/ar/lu/luLandDet.jsp?pnu=3611011300108560000&amp;isNoScr=script&amp;mode=search", "토지이음")</f>
        <v/>
      </c>
      <c r="S487" s="3" t="inlineStr">
        <is>
          <t>세종스타</t>
        </is>
      </c>
      <c r="T487" s="4" t="n">
        <v>1</v>
      </c>
      <c r="U487" s="5" t="n">
        <v>356.7</v>
      </c>
      <c r="V487" s="4" t="n">
        <v>285.9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소로각지</t>
        </is>
      </c>
    </row>
    <row r="488">
      <c r="A488" s="3" t="inlineStr">
        <is>
          <t>아름동 856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135000</v>
      </c>
      <c r="H488" s="4" t="n">
        <v>0</v>
      </c>
      <c r="I488" s="4" t="n">
        <v>285</v>
      </c>
      <c r="J488" s="4" t="n">
        <v>86</v>
      </c>
      <c r="K488" s="5" t="n">
        <v>1569.8</v>
      </c>
      <c r="L488" s="4" t="n">
        <v>178</v>
      </c>
      <c r="M488" s="4" t="n">
        <v>54</v>
      </c>
      <c r="N488" s="5" t="n">
        <v>2500</v>
      </c>
      <c r="O488" s="3" t="inlineStr">
        <is>
          <t>아름동 입지좋은 단독주택 매매, 올리모델링</t>
        </is>
      </c>
      <c r="P488" s="6">
        <f>HYPERLINK("https://fin.land.naver.com/articles/2654691330", "매물Link")</f>
        <v/>
      </c>
      <c r="Q488" s="6">
        <f>HYPERLINK("https://map.naver.com/p/search/아름동 856", "지도Link")</f>
        <v/>
      </c>
      <c r="R488" s="6">
        <f>HYPERLINK("http://www.eum.go.kr/web/ar/lu/luLandDet.jsp?pnu=3611011300108560000&amp;isNoScr=script&amp;mode=search",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356.7</v>
      </c>
      <c r="V488" s="4" t="n">
        <v>285.9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소로각지</t>
        </is>
      </c>
    </row>
    <row r="489">
      <c r="A489" s="3" t="inlineStr">
        <is>
          <t>아름동 862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314</v>
      </c>
      <c r="J489" s="4" t="n">
        <v>95</v>
      </c>
      <c r="K489" s="5" t="n">
        <v>1126.3</v>
      </c>
      <c r="L489" s="4" t="n">
        <v>147</v>
      </c>
      <c r="M489" s="4" t="n">
        <v>44</v>
      </c>
      <c r="N489" s="5" t="n">
        <v>2431.8</v>
      </c>
      <c r="O489" s="3" t="inlineStr">
        <is>
          <t>급매 전세끼고 매매 리모델링됨 마당넓음</t>
        </is>
      </c>
      <c r="P489" s="6">
        <f>HYPERLINK("https://fin.land.naver.com/articles/2651116835", "매물Link")</f>
        <v/>
      </c>
      <c r="Q489" s="6">
        <f>HYPERLINK("https://map.naver.com/p/search/아름동 862", "지도Link")</f>
        <v/>
      </c>
      <c r="R489" s="6">
        <f>HYPERLINK("http://www.eum.go.kr/web/ar/lu/luLandDet.jsp?pnu=3611011300108620000&amp;isNoScr=script&amp;mode=search",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339.8</v>
      </c>
      <c r="V489" s="4" t="n">
        <v>314.8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875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160000</v>
      </c>
      <c r="H490" s="4" t="n">
        <v>0</v>
      </c>
      <c r="I490" s="4" t="n">
        <v>340</v>
      </c>
      <c r="J490" s="4" t="n">
        <v>103</v>
      </c>
      <c r="K490" s="5" t="n">
        <v>1553.4</v>
      </c>
      <c r="L490" s="4" t="n">
        <v>192</v>
      </c>
      <c r="M490" s="4" t="n">
        <v>58</v>
      </c>
      <c r="N490" s="5" t="n">
        <v>2758.6</v>
      </c>
      <c r="O490" s="3" t="inlineStr">
        <is>
          <t>nan</t>
        </is>
      </c>
      <c r="P490" s="6">
        <f>HYPERLINK("https://fin.land.naver.com/articles/2652438889", "매물Link")</f>
        <v/>
      </c>
      <c r="Q490" s="6">
        <f>HYPERLINK("https://map.naver.com/p/search/아름동 875", "지도Link")</f>
        <v/>
      </c>
      <c r="R490" s="6">
        <f>HYPERLINK("http://www.eum.go.kr/web/ar/lu/luLandDet.jsp?pnu=3611011300108750000&amp;isNoScr=script&amp;mode=search", "토지이음")</f>
        <v/>
      </c>
      <c r="S490" s="3" t="inlineStr">
        <is>
          <t>세종갑부</t>
        </is>
      </c>
      <c r="T490" s="4" t="n">
        <v>1</v>
      </c>
      <c r="U490" s="5" t="n">
        <v>339.5</v>
      </c>
      <c r="V490" s="4" t="n">
        <v>340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아름동 959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160000</v>
      </c>
      <c r="H491" s="4" t="n">
        <v>0</v>
      </c>
      <c r="I491" s="4" t="n">
        <v>357</v>
      </c>
      <c r="J491" s="4" t="n">
        <v>108</v>
      </c>
      <c r="K491" s="5" t="n">
        <v>1481.5</v>
      </c>
      <c r="L491" s="4" t="n">
        <v>248</v>
      </c>
      <c r="M491" s="4" t="n">
        <v>75</v>
      </c>
      <c r="N491" s="5" t="n">
        <v>2133.3</v>
      </c>
      <c r="O491" s="3" t="inlineStr">
        <is>
          <t>방5개, 화장실2개, 고급 단독주택, 태양광</t>
        </is>
      </c>
      <c r="P491" s="6">
        <f>HYPERLINK("https://fin.land.naver.com/articles/2651949107", "매물Link")</f>
        <v/>
      </c>
      <c r="Q491" s="6">
        <f>HYPERLINK("https://map.naver.com/p/search/아름동 959", "지도Link")</f>
        <v/>
      </c>
      <c r="R491" s="6">
        <f>HYPERLINK("http://www.eum.go.kr/web/ar/lu/luLandDet.jsp?pnu=3611011300109590000&amp;isNoScr=script&amp;mode=search", "토지이음")</f>
        <v/>
      </c>
      <c r="S491" s="3" t="inlineStr">
        <is>
          <t>명진</t>
        </is>
      </c>
      <c r="T491" s="4" t="n">
        <v>1</v>
      </c>
      <c r="U491" s="5" t="n">
        <v>327.2</v>
      </c>
      <c r="V491" s="4" t="n">
        <v>357.9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아름동 959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160000</v>
      </c>
      <c r="H492" s="4" t="n">
        <v>0</v>
      </c>
      <c r="I492" s="4" t="n">
        <v>357</v>
      </c>
      <c r="J492" s="4" t="n">
        <v>108</v>
      </c>
      <c r="K492" s="5" t="n">
        <v>1481.5</v>
      </c>
      <c r="L492" s="4" t="n">
        <v>248</v>
      </c>
      <c r="M492" s="4" t="n">
        <v>75</v>
      </c>
      <c r="N492" s="5" t="n">
        <v>2133.3</v>
      </c>
      <c r="O492" s="3" t="inlineStr">
        <is>
          <t>고급 단독주택 매매, 태양광 설치, 1층에 방2개</t>
        </is>
      </c>
      <c r="P492" s="6">
        <f>HYPERLINK("https://fin.land.naver.com/articles/2652844353", "매물Link")</f>
        <v/>
      </c>
      <c r="Q492" s="6">
        <f>HYPERLINK("https://map.naver.com/p/search/아름동 959", "지도Link")</f>
        <v/>
      </c>
      <c r="R492" s="6">
        <f>HYPERLINK("http://www.eum.go.kr/web/ar/lu/luLandDet.jsp?pnu=3611011300109590000&amp;isNoScr=script&amp;mode=search", "토지이음")</f>
        <v/>
      </c>
      <c r="S492" s="3" t="inlineStr">
        <is>
          <t>세종무지개</t>
        </is>
      </c>
      <c r="T492" s="4" t="n">
        <v>1</v>
      </c>
      <c r="U492" s="5" t="n">
        <v>327.2</v>
      </c>
      <c r="V492" s="4" t="n">
        <v>357.9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아름동 959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357</v>
      </c>
      <c r="J493" s="4" t="n">
        <v>108</v>
      </c>
      <c r="K493" s="5" t="n">
        <v>1481.5</v>
      </c>
      <c r="L493" s="4" t="n">
        <v>248</v>
      </c>
      <c r="M493" s="4" t="n">
        <v>75</v>
      </c>
      <c r="N493" s="5" t="n">
        <v>2133.3</v>
      </c>
      <c r="O493" s="3" t="inlineStr">
        <is>
          <t>조율가능 유럽풍스타일 1층 방2개 거실넓은 철콘주택</t>
        </is>
      </c>
      <c r="P493" s="6">
        <f>HYPERLINK("https://fin.land.naver.com/articles/2651088324", "매물Link")</f>
        <v/>
      </c>
      <c r="Q493" s="6">
        <f>HYPERLINK("https://map.naver.com/p/search/아름동 959", "지도Link")</f>
        <v/>
      </c>
      <c r="R493" s="6">
        <f>HYPERLINK("http://www.eum.go.kr/web/ar/lu/luLandDet.jsp?pnu=3611011300109590000&amp;isNoScr=script&amp;mode=search", "토지이음")</f>
        <v/>
      </c>
      <c r="S493" s="3" t="inlineStr">
        <is>
          <t>세종스타</t>
        </is>
      </c>
      <c r="T493" s="4" t="n">
        <v>1</v>
      </c>
      <c r="U493" s="5" t="n">
        <v>327.2</v>
      </c>
      <c r="V493" s="4" t="n">
        <v>357.9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아름동 991</t>
        </is>
      </c>
      <c r="B494" s="3" t="inlineStr">
        <is>
          <t>제1종전용주거지역</t>
        </is>
      </c>
      <c r="C494" s="3" t="inlineStr">
        <is>
          <t>공원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200000</v>
      </c>
      <c r="H494" s="4" t="n">
        <v>0</v>
      </c>
      <c r="I494" s="4" t="n">
        <v>325</v>
      </c>
      <c r="J494" s="4" t="n">
        <v>98</v>
      </c>
      <c r="K494" s="5" t="n">
        <v>2040.8</v>
      </c>
      <c r="L494" s="4" t="n">
        <v>278</v>
      </c>
      <c r="M494" s="4" t="n">
        <v>84</v>
      </c>
      <c r="N494" s="5" t="n">
        <v>2381</v>
      </c>
      <c r="O494" s="3" t="inlineStr">
        <is>
          <t>생명나무,아름동 고급주택 .꼼꼼하게 신경썼어요 관리상태 최상</t>
        </is>
      </c>
      <c r="P494" s="6">
        <f>HYPERLINK("https://fin.land.naver.com/articles/2655924927", "매물Link")</f>
        <v/>
      </c>
      <c r="Q494" s="6">
        <f>HYPERLINK("https://map.naver.com/p/search/아름동 991", "지도Link")</f>
        <v/>
      </c>
      <c r="R494" s="6">
        <f>HYPERLINK("http://www.eum.go.kr/web/ar/lu/luLandDet.jsp?pnu=3611011300109910000&amp;isNoScr=script&amp;mode=search", "토지이음")</f>
        <v/>
      </c>
      <c r="S494" s="3" t="inlineStr">
        <is>
          <t>생명나무</t>
        </is>
      </c>
      <c r="T494" s="4" t="n">
        <v>1</v>
      </c>
      <c r="U494" s="5" t="n">
        <v>110.7</v>
      </c>
      <c r="V494" s="4" t="n">
        <v>336.9</v>
      </c>
      <c r="W494" s="3" t="inlineStr">
        <is>
          <t>지정되지않음</t>
        </is>
      </c>
      <c r="X494" s="3" t="inlineStr">
        <is>
          <t>공원등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지정되지않음</t>
        </is>
      </c>
    </row>
    <row r="495">
      <c r="A495" s="3" t="inlineStr">
        <is>
          <t>아름동 993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200000</v>
      </c>
      <c r="H495" s="4" t="n">
        <v>0</v>
      </c>
      <c r="I495" s="4" t="n">
        <v>325</v>
      </c>
      <c r="J495" s="4" t="n">
        <v>98</v>
      </c>
      <c r="K495" s="5" t="n">
        <v>2040.8</v>
      </c>
      <c r="L495" s="4" t="n">
        <v>278</v>
      </c>
      <c r="M495" s="4" t="n">
        <v>84</v>
      </c>
      <c r="N495" s="5" t="n">
        <v>2381</v>
      </c>
      <c r="O495" s="3" t="inlineStr">
        <is>
          <t>전용 84.4p, 방4개, 화장실3개, 고급 단독주택, 관리잘된집</t>
        </is>
      </c>
      <c r="P495" s="6">
        <f>HYPERLINK("https://fin.land.naver.com/articles/2653889577", "매물Link")</f>
        <v/>
      </c>
      <c r="Q495" s="6">
        <f>HYPERLINK("https://map.naver.com/p/search/아름동 993", "지도Link")</f>
        <v/>
      </c>
      <c r="R495" s="6">
        <f>HYPERLINK("http://www.eum.go.kr/web/ar/lu/luLandDet.jsp?pnu=3611011300109930000&amp;isNoScr=script&amp;mode=search", "토지이음")</f>
        <v/>
      </c>
      <c r="S495" s="3" t="inlineStr">
        <is>
          <t>명진</t>
        </is>
      </c>
      <c r="T495" s="4" t="n">
        <v>1</v>
      </c>
      <c r="U495" s="5" t="n">
        <v>335.5</v>
      </c>
      <c r="V495" s="4" t="n">
        <v>325.8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993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200000</v>
      </c>
      <c r="H496" s="4" t="n">
        <v>0</v>
      </c>
      <c r="I496" s="4" t="n">
        <v>325</v>
      </c>
      <c r="J496" s="4" t="n">
        <v>98</v>
      </c>
      <c r="K496" s="5" t="n">
        <v>2040.8</v>
      </c>
      <c r="L496" s="4" t="n">
        <v>278</v>
      </c>
      <c r="M496" s="4" t="n">
        <v>84</v>
      </c>
      <c r="N496" s="5" t="n">
        <v>2381</v>
      </c>
      <c r="O496" s="3" t="inlineStr">
        <is>
          <t>방4개, 화장실3개, 벙커주차장가능, 지대높아 뷰 굿</t>
        </is>
      </c>
      <c r="P496" s="6">
        <f>HYPERLINK("https://fin.land.naver.com/articles/2652883582", "매물Link")</f>
        <v/>
      </c>
      <c r="Q496" s="6">
        <f>HYPERLINK("https://map.naver.com/p/search/아름동 993", "지도Link")</f>
        <v/>
      </c>
      <c r="R496" s="6">
        <f>HYPERLINK("http://www.eum.go.kr/web/ar/lu/luLandDet.jsp?pnu=3611011300109930000&amp;isNoScr=script&amp;mode=search",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335.5</v>
      </c>
      <c r="V496" s="4" t="n">
        <v>325.8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993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동네전체 내려보이는 높은위치 벙커주차장2대 개방감최상</t>
        </is>
      </c>
      <c r="P497" s="6">
        <f>HYPERLINK("https://fin.land.naver.com/articles/2652442556", "매물Link")</f>
        <v/>
      </c>
      <c r="Q497" s="6">
        <f>HYPERLINK("https://map.naver.com/p/search/아름동 993", "지도Link")</f>
        <v/>
      </c>
      <c r="R497" s="6">
        <f>HYPERLINK("http://www.eum.go.kr/web/ar/lu/luLandDet.jsp?pnu=3611011300109930000&amp;isNoScr=script&amp;mode=search", "토지이음")</f>
        <v/>
      </c>
      <c r="S497" s="3" t="inlineStr">
        <is>
          <t>세종스타</t>
        </is>
      </c>
      <c r="T497" s="4" t="n">
        <v>1</v>
      </c>
      <c r="U497" s="5" t="n">
        <v>335.5</v>
      </c>
      <c r="V497" s="4" t="n">
        <v>325.8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연기면 눌왕리 222-17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90000</v>
      </c>
      <c r="H498" s="4" t="n">
        <v>0</v>
      </c>
      <c r="I498" s="4" t="n">
        <v>716</v>
      </c>
      <c r="J498" s="4" t="n">
        <v>217</v>
      </c>
      <c r="K498" s="5" t="n">
        <v>414.7</v>
      </c>
      <c r="L498" s="4" t="n">
        <v>136</v>
      </c>
      <c r="M498" s="4" t="n">
        <v>41</v>
      </c>
      <c r="N498" s="5" t="n">
        <v>2195.1</v>
      </c>
      <c r="O498" s="3" t="inlineStr">
        <is>
          <t>세종시 연기면 눌왕리 전원주택 매매 .2층 주택</t>
        </is>
      </c>
      <c r="P498" s="6">
        <f>HYPERLINK("https://fin.land.naver.com/articles/2652492906", "매물Link")</f>
        <v/>
      </c>
      <c r="Q498" s="6">
        <f>HYPERLINK("https://map.naver.com/p/search/연기면 눌왕리 222-17", "지도Link")</f>
        <v/>
      </c>
      <c r="R498" s="6">
        <f>HYPERLINK("http://www.eum.go.kr/web/ar/lu/luLandDet.jsp?pnu=3611031023102220017&amp;isNoScr=script&amp;mode=search", "토지이음")</f>
        <v/>
      </c>
      <c r="S498" s="3" t="inlineStr">
        <is>
          <t>동원</t>
        </is>
      </c>
      <c r="T498" s="4" t="n">
        <v>1</v>
      </c>
      <c r="U498" s="5" t="n">
        <v>115.9</v>
      </c>
      <c r="V498" s="4" t="n">
        <v>716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완경사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눌왕리 222-4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93000</v>
      </c>
      <c r="H499" s="4" t="n">
        <v>0</v>
      </c>
      <c r="I499" s="4" t="n">
        <v>827</v>
      </c>
      <c r="J499" s="4" t="n">
        <v>250</v>
      </c>
      <c r="K499" s="5" t="n">
        <v>372</v>
      </c>
      <c r="L499" s="4" t="n">
        <v>111</v>
      </c>
      <c r="M499" s="4" t="n">
        <v>34</v>
      </c>
      <c r="N499" s="5" t="n">
        <v>2735.3</v>
      </c>
      <c r="O499" s="3" t="inlineStr">
        <is>
          <t>눌왕리 텃밭과 조경이 관리가 잘 된 1층 단독주택. 입주일 협의.</t>
        </is>
      </c>
      <c r="P499" s="6">
        <f>HYPERLINK("https://fin.land.naver.com/articles/2653849984", "매물Link")</f>
        <v/>
      </c>
      <c r="Q499" s="6">
        <f>HYPERLINK("https://map.naver.com/p/search/연기면 눌왕리 222-4", "지도Link")</f>
        <v/>
      </c>
      <c r="R499" s="6">
        <f>HYPERLINK("http://www.eum.go.kr/web/ar/lu/luLandDet.jsp?pnu=3611031023102220004&amp;isNoScr=script&amp;mode=search", "토지이음")</f>
        <v/>
      </c>
      <c r="S499" s="3" t="inlineStr">
        <is>
          <t>세종대장</t>
        </is>
      </c>
      <c r="T499" s="4" t="n">
        <v>1</v>
      </c>
      <c r="U499" s="5" t="n">
        <v>115.9</v>
      </c>
      <c r="V499" s="4" t="n">
        <v>827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완경사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연기면 눌왕리 679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102700</v>
      </c>
      <c r="H500" s="4" t="n">
        <v>0</v>
      </c>
      <c r="I500" s="4" t="n">
        <v>1494</v>
      </c>
      <c r="J500" s="4" t="n">
        <v>452</v>
      </c>
      <c r="K500" s="5" t="n">
        <v>227.2</v>
      </c>
      <c r="L500" s="4" t="n">
        <v>19</v>
      </c>
      <c r="M500" s="4" t="n">
        <v>6</v>
      </c>
      <c r="N500" s="5" t="n">
        <v>17116.7</v>
      </c>
      <c r="O500" s="3" t="inlineStr">
        <is>
          <t>nan</t>
        </is>
      </c>
      <c r="P500" s="6">
        <f>HYPERLINK("https://fin.land.naver.com/articles/2654582010", "매물Link")</f>
        <v/>
      </c>
      <c r="Q500" s="6">
        <f>HYPERLINK("https://map.naver.com/p/search/연기면 눌왕리 679", "지도Link")</f>
        <v/>
      </c>
      <c r="R500" s="6">
        <f>HYPERLINK("http://www.eum.go.kr/web/ar/lu/luLandDet.jsp?pnu=3611031023106790000&amp;isNoScr=script&amp;mode=search", "토지이음")</f>
        <v/>
      </c>
      <c r="S500" s="3" t="inlineStr">
        <is>
          <t>한신플러스</t>
        </is>
      </c>
      <c r="T500" s="4" t="n">
        <v>1</v>
      </c>
      <c r="U500" s="5" t="n">
        <v>91.8</v>
      </c>
      <c r="V500" s="4" t="n">
        <v>1306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눌왕리 679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10306</v>
      </c>
      <c r="J501" s="4" t="n">
        <v>3118</v>
      </c>
      <c r="K501" s="5" t="n">
        <v>32.1</v>
      </c>
      <c r="L501" s="4" t="n">
        <v>19</v>
      </c>
      <c r="M501" s="4" t="n">
        <v>6</v>
      </c>
      <c r="N501" s="5" t="n">
        <v>16666.7</v>
      </c>
      <c r="O501" s="3" t="inlineStr">
        <is>
          <t>nan</t>
        </is>
      </c>
      <c r="P501" s="6">
        <f>HYPERLINK("https://fin.land.naver.com/articles/2654580907", "매물Link")</f>
        <v/>
      </c>
      <c r="Q501" s="6">
        <f>HYPERLINK("https://map.naver.com/p/search/연기면 눌왕리 679", "지도Link")</f>
        <v/>
      </c>
      <c r="R501" s="6">
        <f>HYPERLINK("http://www.eum.go.kr/web/ar/lu/luLandDet.jsp?pnu=3611031023106790000&amp;isNoScr=script&amp;mode=search", "토지이음")</f>
        <v/>
      </c>
      <c r="S501" s="3" t="inlineStr">
        <is>
          <t>한신플러스</t>
        </is>
      </c>
      <c r="T501" s="4" t="n">
        <v>1</v>
      </c>
      <c r="U501" s="5" t="n">
        <v>91.8</v>
      </c>
      <c r="V501" s="4" t="n">
        <v>1306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191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전원주택</t>
        </is>
      </c>
      <c r="F502" s="3" t="inlineStr">
        <is>
          <t>전세</t>
        </is>
      </c>
      <c r="G502" s="4" t="n">
        <v>10000</v>
      </c>
      <c r="H502" s="4" t="n">
        <v>0</v>
      </c>
      <c r="I502" s="4" t="n">
        <v>1023</v>
      </c>
      <c r="J502" s="4" t="n">
        <v>309</v>
      </c>
      <c r="K502" s="5" t="n">
        <v>32.4</v>
      </c>
      <c r="L502" s="4" t="n">
        <v>174</v>
      </c>
      <c r="M502" s="4" t="n">
        <v>53</v>
      </c>
      <c r="N502" s="5" t="n">
        <v>188.7</v>
      </c>
      <c r="O502" s="3" t="inlineStr">
        <is>
          <t>저렴한 전원주택 전세, 근처 전 텃밭으로 사용가능, 신축 깨끗</t>
        </is>
      </c>
      <c r="P502" s="6">
        <f>HYPERLINK("https://fin.land.naver.com/articles/2653499367", "매물Link")</f>
        <v/>
      </c>
      <c r="Q502" s="6">
        <f>HYPERLINK("https://map.naver.com/p/search/연기면 보통리 191", "지도Link")</f>
        <v/>
      </c>
      <c r="R502" s="6">
        <f>HYPERLINK("http://www.eum.go.kr/web/ar/lu/luLandDet.jsp?pnu=3611031022101910000&amp;isNoScr=script&amp;mode=search", "토지이음")</f>
        <v/>
      </c>
      <c r="S502" s="3" t="inlineStr">
        <is>
          <t>풍경채대지</t>
        </is>
      </c>
      <c r="T502" s="4" t="n">
        <v>1</v>
      </c>
      <c r="U502" s="5" t="n">
        <v>96.90000000000001</v>
      </c>
      <c r="V502" s="4" t="n">
        <v>1023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191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전원주택</t>
        </is>
      </c>
      <c r="F503" s="3" t="inlineStr">
        <is>
          <t>전세</t>
        </is>
      </c>
      <c r="G503" s="4" t="n">
        <v>8000</v>
      </c>
      <c r="H503" s="4" t="n">
        <v>0</v>
      </c>
      <c r="I503" s="4" t="n">
        <v>1023</v>
      </c>
      <c r="J503" s="4" t="n">
        <v>309</v>
      </c>
      <c r="K503" s="5" t="n">
        <v>25.9</v>
      </c>
      <c r="L503" s="4" t="n">
        <v>174</v>
      </c>
      <c r="M503" s="4" t="n">
        <v>53</v>
      </c>
      <c r="N503" s="5" t="n">
        <v>150.9</v>
      </c>
      <c r="O503" s="3" t="inlineStr">
        <is>
          <t>전원형 단독주택, 창고, 주차장 건물 별도로 있어요</t>
        </is>
      </c>
      <c r="P503" s="6">
        <f>HYPERLINK("https://fin.land.naver.com/articles/2655045299", "매물Link")</f>
        <v/>
      </c>
      <c r="Q503" s="6">
        <f>HYPERLINK("https://map.naver.com/p/search/연기면 보통리 191", "지도Link")</f>
        <v/>
      </c>
      <c r="R503" s="6">
        <f>HYPERLINK("http://www.eum.go.kr/web/ar/lu/luLandDet.jsp?pnu=3611031022101910000&amp;isNoScr=script&amp;mode=search", "토지이음")</f>
        <v/>
      </c>
      <c r="S503" s="3" t="inlineStr">
        <is>
          <t>세종대박</t>
        </is>
      </c>
      <c r="T503" s="4" t="n">
        <v>1</v>
      </c>
      <c r="U503" s="5" t="n">
        <v>96.90000000000001</v>
      </c>
      <c r="V503" s="4" t="n">
        <v>1023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완경사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340-1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연립</t>
        </is>
      </c>
      <c r="F504" s="3" t="inlineStr">
        <is>
          <t>매매</t>
        </is>
      </c>
      <c r="G504" s="4" t="n">
        <v>9000</v>
      </c>
      <c r="H504" s="4" t="n">
        <v>0</v>
      </c>
      <c r="I504" s="4" t="n">
        <v>54</v>
      </c>
      <c r="J504" s="4" t="n">
        <v>16</v>
      </c>
      <c r="K504" s="5" t="n">
        <v>562.5</v>
      </c>
      <c r="L504" s="4" t="n">
        <v>54</v>
      </c>
      <c r="M504" s="4" t="n">
        <v>16</v>
      </c>
      <c r="N504" s="5" t="n">
        <v>562.5</v>
      </c>
      <c r="O504" s="3" t="inlineStr">
        <is>
          <t>올리모델링,관리잘된 연립주택</t>
        </is>
      </c>
      <c r="P504" s="6">
        <f>HYPERLINK("https://fin.land.naver.com/articles/2655032834", "매물Link")</f>
        <v/>
      </c>
      <c r="Q504" s="6">
        <f>HYPERLINK("https://map.naver.com/p/search/연기면 보통리 340-1", "지도Link")</f>
        <v/>
      </c>
      <c r="R504" s="6">
        <f>HYPERLINK("http://www.eum.go.kr/web/ar/lu/luLandDet.jsp?pnu=3611031022103400001&amp;isNoScr=script&amp;mode=search", "토지이음")</f>
        <v/>
      </c>
      <c r="S504" s="3" t="inlineStr">
        <is>
          <t>세종대박</t>
        </is>
      </c>
      <c r="T504" s="4" t="n">
        <v>1</v>
      </c>
      <c r="U504" s="5" t="n">
        <v>195.9</v>
      </c>
      <c r="V504" s="4" t="n">
        <v>609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340-3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빌라</t>
        </is>
      </c>
      <c r="F505" s="3" t="inlineStr">
        <is>
          <t>매매</t>
        </is>
      </c>
      <c r="G505" s="4" t="n">
        <v>9000</v>
      </c>
      <c r="H505" s="4" t="n">
        <v>0</v>
      </c>
      <c r="I505" s="4" t="n">
        <v>65</v>
      </c>
      <c r="J505" s="4" t="n">
        <v>20</v>
      </c>
      <c r="K505" s="5" t="n">
        <v>450</v>
      </c>
      <c r="L505" s="4" t="n">
        <v>59</v>
      </c>
      <c r="M505" s="4" t="n">
        <v>18</v>
      </c>
      <c r="N505" s="5" t="n">
        <v>500</v>
      </c>
      <c r="O505" s="3" t="inlineStr">
        <is>
          <t>nan</t>
        </is>
      </c>
      <c r="P505" s="6">
        <f>HYPERLINK("https://fin.land.naver.com/articles/2655032755", "매물Link")</f>
        <v/>
      </c>
      <c r="Q505" s="6">
        <f>HYPERLINK("https://map.naver.com/p/search/연기면 보통리 340-3", "지도Link")</f>
        <v/>
      </c>
      <c r="R505" s="6">
        <f>HYPERLINK("http://www.eum.go.kr/web/ar/lu/luLandDet.jsp?pnu=3611031022103400003&amp;isNoScr=script&amp;mode=search", "토지이음")</f>
        <v/>
      </c>
      <c r="S505" s="3" t="inlineStr">
        <is>
          <t>세종대박</t>
        </is>
      </c>
      <c r="T505" s="4" t="n">
        <v>1</v>
      </c>
      <c r="U505" s="5" t="n">
        <v>195.9</v>
      </c>
      <c r="V505" s="4" t="n">
        <v>793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386-13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0</v>
      </c>
      <c r="J506" s="4" t="n">
        <v>0</v>
      </c>
      <c r="K506" s="5" t="n">
        <v>0</v>
      </c>
      <c r="L506" s="4" t="n">
        <v>37</v>
      </c>
      <c r="M506" s="4" t="n">
        <v>11</v>
      </c>
      <c r="N506" s="5" t="n">
        <v>3.9</v>
      </c>
      <c r="O506" s="3" t="inlineStr">
        <is>
          <t>1.5룸 투베이 , 세종신도심 5분내 진입</t>
        </is>
      </c>
      <c r="P506" s="6">
        <f>HYPERLINK("https://fin.land.naver.com/articles/2654265153", "매물Link")</f>
        <v/>
      </c>
      <c r="Q506" s="6">
        <f>HYPERLINK("https://map.naver.com/p/search/연기면 보통리 386-13", "지도Link")</f>
        <v/>
      </c>
      <c r="R506" s="6">
        <f>HYPERLINK("http://www.eum.go.kr/web/ar/lu/luLandDet.jsp?pnu=3611031022103860013&amp;isNoScr=script&amp;mode=search", "토지이음")</f>
        <v/>
      </c>
      <c r="S506" s="3" t="inlineStr">
        <is>
          <t>지성</t>
        </is>
      </c>
      <c r="T506" s="4" t="n">
        <v>1</v>
      </c>
      <c r="U506" s="5" t="n">
        <v>188.5</v>
      </c>
      <c r="V506" s="4" t="n">
        <v>558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387-2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190000</v>
      </c>
      <c r="H507" s="4" t="n">
        <v>0</v>
      </c>
      <c r="I507" s="4" t="n">
        <v>568</v>
      </c>
      <c r="J507" s="4" t="n">
        <v>172</v>
      </c>
      <c r="K507" s="5" t="n">
        <v>1104.7</v>
      </c>
      <c r="L507" s="4" t="n">
        <v>581</v>
      </c>
      <c r="M507" s="4" t="n">
        <v>176</v>
      </c>
      <c r="N507" s="5" t="n">
        <v>1079.5</v>
      </c>
      <c r="O507" s="3" t="inlineStr">
        <is>
          <t>공실제로 신축 스마트산업단지 예정 초입위치 다가구주택 통매매</t>
        </is>
      </c>
      <c r="P507" s="6">
        <f>HYPERLINK("https://fin.land.naver.com/articles/2653309898", "매물Link")</f>
        <v/>
      </c>
      <c r="Q507" s="6">
        <f>HYPERLINK("https://map.naver.com/p/search/연기면 보통리 387-2", "지도Link")</f>
        <v/>
      </c>
      <c r="R507" s="6">
        <f>HYPERLINK("http://www.eum.go.kr/web/ar/lu/luLandDet.jsp?pnu=3611031022103870002&amp;isNoScr=script&amp;mode=search", "토지이음")</f>
        <v/>
      </c>
      <c r="S507" s="3" t="inlineStr">
        <is>
          <t>연기더조은</t>
        </is>
      </c>
      <c r="T507" s="4" t="n">
        <v>1</v>
      </c>
      <c r="U507" s="5" t="n">
        <v>196.5</v>
      </c>
      <c r="V507" s="4" t="n">
        <v>568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5000</v>
      </c>
      <c r="H508" s="4" t="n">
        <v>40</v>
      </c>
      <c r="I508" s="4" t="n">
        <v>0</v>
      </c>
      <c r="J508" s="4" t="n">
        <v>0</v>
      </c>
      <c r="K508" s="5" t="n">
        <v>0</v>
      </c>
      <c r="L508" s="4" t="n">
        <v>43</v>
      </c>
      <c r="M508" s="4" t="n">
        <v>13</v>
      </c>
      <c r="N508" s="5" t="n">
        <v>3.1</v>
      </c>
      <c r="O508" s="3" t="inlineStr">
        <is>
          <t>인기좋은  신축 풀옵션 2룸  깔끔한  주거공간  주차편함  바로입주</t>
        </is>
      </c>
      <c r="P508" s="6">
        <f>HYPERLINK("https://fin.land.naver.com/articles/2656364561", "매물Link")</f>
        <v/>
      </c>
      <c r="Q508" s="6">
        <f>HYPERLINK("https://map.naver.com/p/search/연기면 보통리 387-3", "지도Link")</f>
        <v/>
      </c>
      <c r="R508" s="6">
        <f>HYPERLINK("http://www.eum.go.kr/web/ar/lu/luLandDet.jsp?pnu=3611031022103870003&amp;isNoScr=script&amp;mode=search",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186.7</v>
      </c>
      <c r="V508" s="4" t="n">
        <v>565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387-3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500</v>
      </c>
      <c r="H509" s="4" t="n">
        <v>40</v>
      </c>
      <c r="I509" s="4" t="n">
        <v>179</v>
      </c>
      <c r="J509" s="4" t="n">
        <v>54</v>
      </c>
      <c r="K509" s="5" t="n">
        <v>0.7</v>
      </c>
      <c r="L509" s="4" t="n">
        <v>26</v>
      </c>
      <c r="M509" s="4" t="n">
        <v>8</v>
      </c>
      <c r="N509" s="5" t="n">
        <v>5</v>
      </c>
      <c r="O509" s="3" t="inlineStr">
        <is>
          <t>신축 풀옵션  엘베 중문 세종10분소요</t>
        </is>
      </c>
      <c r="P509" s="6">
        <f>HYPERLINK("https://fin.land.naver.com/articles/2651076474", "매물Link")</f>
        <v/>
      </c>
      <c r="Q509" s="6">
        <f>HYPERLINK("https://map.naver.com/p/search/연기면 보통리 387-3", "지도Link")</f>
        <v/>
      </c>
      <c r="R509" s="6">
        <f>HYPERLINK("http://www.eum.go.kr/web/ar/lu/luLandDet.jsp?pnu=3611031022103870003&amp;isNoScr=script&amp;mode=search",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186.7</v>
      </c>
      <c r="V509" s="4" t="n">
        <v>565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387-4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175000</v>
      </c>
      <c r="H510" s="4" t="n">
        <v>0</v>
      </c>
      <c r="I510" s="4" t="n">
        <v>568</v>
      </c>
      <c r="J510" s="4" t="n">
        <v>172</v>
      </c>
      <c r="K510" s="5" t="n">
        <v>1017.4</v>
      </c>
      <c r="L510" s="4" t="n">
        <v>597</v>
      </c>
      <c r="M510" s="4" t="n">
        <v>181</v>
      </c>
      <c r="N510" s="5" t="n">
        <v>966.9</v>
      </c>
      <c r="O510" s="3" t="inlineStr">
        <is>
          <t>공실제로 신축 스마트산업단지 예정 초입위치 다가구주택 통매매</t>
        </is>
      </c>
      <c r="P510" s="6">
        <f>HYPERLINK("https://fin.land.naver.com/articles/2653310017", "매물Link")</f>
        <v/>
      </c>
      <c r="Q510" s="6">
        <f>HYPERLINK("https://map.naver.com/p/search/연기면 보통리 387-4", "지도Link")</f>
        <v/>
      </c>
      <c r="R510" s="6">
        <f>HYPERLINK("http://www.eum.go.kr/web/ar/lu/luLandDet.jsp?pnu=3611031022103870004&amp;isNoScr=script&amp;mode=search", "토지이음")</f>
        <v/>
      </c>
      <c r="S510" s="3" t="inlineStr">
        <is>
          <t>연기더조은</t>
        </is>
      </c>
      <c r="T510" s="4" t="n">
        <v>1</v>
      </c>
      <c r="U510" s="5" t="n">
        <v>186.7</v>
      </c>
      <c r="V510" s="4" t="n">
        <v>568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40</v>
      </c>
      <c r="I511" s="4" t="n">
        <v>568</v>
      </c>
      <c r="J511" s="4" t="n">
        <v>172</v>
      </c>
      <c r="K511" s="5" t="n">
        <v>0.2</v>
      </c>
      <c r="L511" s="4" t="n">
        <v>597</v>
      </c>
      <c r="M511" s="4" t="n">
        <v>181</v>
      </c>
      <c r="N511" s="5" t="n">
        <v>0.2</v>
      </c>
      <c r="O511" s="3" t="inlineStr">
        <is>
          <t>신축 분리형원룸, 풀옵션, 엘레베이터, 주차大</t>
        </is>
      </c>
      <c r="P511" s="6">
        <f>HYPERLINK("https://fin.land.naver.com/articles/2653311167", "매물Link")</f>
        <v/>
      </c>
      <c r="Q511" s="6">
        <f>HYPERLINK("https://map.naver.com/p/search/연기면 보통리 387-4", "지도Link")</f>
        <v/>
      </c>
      <c r="R511" s="6">
        <f>HYPERLINK("http://www.eum.go.kr/web/ar/lu/luLandDet.jsp?pnu=3611031022103870004&amp;isNoScr=script&amp;mode=search",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186.7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세로한면(가)</t>
        </is>
      </c>
    </row>
    <row r="512">
      <c r="A512" s="3" t="inlineStr">
        <is>
          <t>연기면 보통리 387-7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4000</v>
      </c>
      <c r="H512" s="4" t="n">
        <v>30</v>
      </c>
      <c r="I512" s="4" t="n">
        <v>179</v>
      </c>
      <c r="J512" s="4" t="n">
        <v>54</v>
      </c>
      <c r="K512" s="5" t="n">
        <v>0.6</v>
      </c>
      <c r="L512" s="4" t="n">
        <v>26</v>
      </c>
      <c r="M512" s="4" t="n">
        <v>8</v>
      </c>
      <c r="N512" s="5" t="n">
        <v>3.8</v>
      </c>
      <c r="O512" s="3" t="inlineStr">
        <is>
          <t>신축 풀옵션1.5룸 엘베 중문.스타일러 최고급</t>
        </is>
      </c>
      <c r="P512" s="6">
        <f>HYPERLINK("https://fin.land.naver.com/articles/2655241740", "매물Link")</f>
        <v/>
      </c>
      <c r="Q512" s="6">
        <f>HYPERLINK("https://map.naver.com/p/search/연기면 보통리 387-7", "지도Link")</f>
        <v/>
      </c>
      <c r="R512" s="6">
        <f>HYPERLINK("http://www.eum.go.kr/web/ar/lu/luLandDet.jsp?pnu=3611031022103870007&amp;isNoScr=script&amp;mode=search",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198.5</v>
      </c>
      <c r="V512" s="4" t="n">
        <v>556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387-7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월세</t>
        </is>
      </c>
      <c r="G513" s="4" t="n">
        <v>10000</v>
      </c>
      <c r="H513" s="4" t="n">
        <v>30</v>
      </c>
      <c r="I513" s="4" t="n">
        <v>178</v>
      </c>
      <c r="J513" s="4" t="n">
        <v>54</v>
      </c>
      <c r="K513" s="5" t="n">
        <v>0.6</v>
      </c>
      <c r="L513" s="4" t="n">
        <v>60</v>
      </c>
      <c r="M513" s="4" t="n">
        <v>18</v>
      </c>
      <c r="N513" s="5" t="n">
        <v>1.7</v>
      </c>
      <c r="O513" s="3" t="inlineStr">
        <is>
          <t>o합리적인가격o최상의컨디션o수납부자o개인테라스o</t>
        </is>
      </c>
      <c r="P513" s="6">
        <f>HYPERLINK("https://fin.land.naver.com/articles/2653959701", "매물Link")</f>
        <v/>
      </c>
      <c r="Q513" s="6">
        <f>HYPERLINK("https://map.naver.com/p/search/연기면 보통리 387-7", "지도Link")</f>
        <v/>
      </c>
      <c r="R513" s="6">
        <f>HYPERLINK("http://www.eum.go.kr/web/ar/lu/luLandDet.jsp?pnu=3611031022103870007&amp;isNoScr=script&amp;mode=search", "토지이음")</f>
        <v/>
      </c>
      <c r="S513" s="3" t="inlineStr">
        <is>
          <t>뉴펜트라움</t>
        </is>
      </c>
      <c r="T513" s="4" t="n">
        <v>1</v>
      </c>
      <c r="U513" s="5" t="n">
        <v>198.5</v>
      </c>
      <c r="V513" s="4" t="n">
        <v>556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387-7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556</v>
      </c>
      <c r="J514" s="4" t="n">
        <v>168</v>
      </c>
      <c r="K514" s="5" t="n">
        <v>1131</v>
      </c>
      <c r="L514" s="4" t="n">
        <v>580</v>
      </c>
      <c r="M514" s="4" t="n">
        <v>175</v>
      </c>
      <c r="N514" s="5" t="n">
        <v>1085.7</v>
      </c>
      <c r="O514" s="3" t="inlineStr">
        <is>
          <t>준신축 산업단지인근 임대위치 좋은 다가구주택 추천</t>
        </is>
      </c>
      <c r="P514" s="6">
        <f>HYPERLINK("https://fin.land.naver.com/articles/2652957380", "매물Link")</f>
        <v/>
      </c>
      <c r="Q514" s="6">
        <f>HYPERLINK("https://map.naver.com/p/search/연기면 보통리 387-7", "지도Link")</f>
        <v/>
      </c>
      <c r="R514" s="6">
        <f>HYPERLINK("http://www.eum.go.kr/web/ar/lu/luLandDet.jsp?pnu=3611031022103870007&amp;isNoScr=script&amp;mode=search", "토지이음")</f>
        <v/>
      </c>
      <c r="S514" s="3" t="inlineStr">
        <is>
          <t>뉴신태양</t>
        </is>
      </c>
      <c r="T514" s="4" t="n">
        <v>1</v>
      </c>
      <c r="U514" s="5" t="n">
        <v>198.5</v>
      </c>
      <c r="V514" s="4" t="n">
        <v>556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387-7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월세</t>
        </is>
      </c>
      <c r="G515" s="4" t="n">
        <v>5000</v>
      </c>
      <c r="H515" s="4" t="n">
        <v>80</v>
      </c>
      <c r="I515" s="4" t="n">
        <v>178</v>
      </c>
      <c r="J515" s="4" t="n">
        <v>54</v>
      </c>
      <c r="K515" s="5" t="n">
        <v>1.5</v>
      </c>
      <c r="L515" s="4" t="n">
        <v>42</v>
      </c>
      <c r="M515" s="4" t="n">
        <v>13</v>
      </c>
      <c r="N515" s="5" t="n">
        <v>6.2</v>
      </c>
      <c r="O515" s="3" t="inlineStr">
        <is>
          <t>o합리적인가격o최상의컨디션o수납부자o개인테라스o</t>
        </is>
      </c>
      <c r="P515" s="6">
        <f>HYPERLINK("https://fin.land.naver.com/articles/2653959584", "매물Link")</f>
        <v/>
      </c>
      <c r="Q515" s="6">
        <f>HYPERLINK("https://map.naver.com/p/search/연기면 보통리 387-7", "지도Link")</f>
        <v/>
      </c>
      <c r="R515" s="6">
        <f>HYPERLINK("http://www.eum.go.kr/web/ar/lu/luLandDet.jsp?pnu=3611031022103870007&amp;isNoScr=script&amp;mode=search", "토지이음")</f>
        <v/>
      </c>
      <c r="S515" s="3" t="inlineStr">
        <is>
          <t>뉴펜트라움</t>
        </is>
      </c>
      <c r="T515" s="4" t="n">
        <v>1</v>
      </c>
      <c r="U515" s="5" t="n">
        <v>198.5</v>
      </c>
      <c r="V515" s="4" t="n">
        <v>556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8000</v>
      </c>
      <c r="H516" s="4" t="n">
        <v>50</v>
      </c>
      <c r="I516" s="4" t="n">
        <v>178</v>
      </c>
      <c r="J516" s="4" t="n">
        <v>54</v>
      </c>
      <c r="K516" s="5" t="n">
        <v>0.9</v>
      </c>
      <c r="L516" s="4" t="n">
        <v>60</v>
      </c>
      <c r="M516" s="4" t="n">
        <v>18</v>
      </c>
      <c r="N516" s="5" t="n">
        <v>2.8</v>
      </c>
      <c r="O516" s="3" t="inlineStr">
        <is>
          <t>o합리적인가격o최상의컨디션o수납부자o개인테라스o</t>
        </is>
      </c>
      <c r="P516" s="6">
        <f>HYPERLINK("https://fin.land.naver.com/articles/2653959639",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0.6</v>
      </c>
      <c r="L517" s="4" t="n">
        <v>26</v>
      </c>
      <c r="M517" s="4" t="n">
        <v>8</v>
      </c>
      <c r="N517" s="5" t="n">
        <v>4</v>
      </c>
      <c r="O517" s="3" t="inlineStr">
        <is>
          <t>nan</t>
        </is>
      </c>
      <c r="P517" s="6">
        <f>HYPERLINK("https://fin.land.naver.com/articles/2652789377",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다가구</t>
        </is>
      </c>
      <c r="F518" s="3" t="inlineStr">
        <is>
          <t>단기임대</t>
        </is>
      </c>
      <c r="G518" s="4" t="n">
        <v>200</v>
      </c>
      <c r="H518" s="4" t="n">
        <v>30</v>
      </c>
      <c r="I518" s="4" t="n">
        <v>164</v>
      </c>
      <c r="J518" s="4" t="n">
        <v>50</v>
      </c>
      <c r="K518" s="5" t="n">
        <v>4</v>
      </c>
      <c r="L518" s="4" t="n">
        <v>26</v>
      </c>
      <c r="M518" s="4" t="n">
        <v>8</v>
      </c>
      <c r="N518" s="5" t="n">
        <v>25</v>
      </c>
      <c r="O518" s="3" t="inlineStr">
        <is>
          <t>nan</t>
        </is>
      </c>
      <c r="P518" s="6">
        <f>HYPERLINK("https://fin.land.naver.com/articles/2651138619",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388-14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164</v>
      </c>
      <c r="J519" s="4" t="n">
        <v>50</v>
      </c>
      <c r="K519" s="5" t="n">
        <v>0.6</v>
      </c>
      <c r="L519" s="4" t="n">
        <v>26</v>
      </c>
      <c r="M519" s="4" t="n">
        <v>8</v>
      </c>
      <c r="N519" s="5" t="n">
        <v>4</v>
      </c>
      <c r="O519" s="3" t="inlineStr">
        <is>
          <t>nan</t>
        </is>
      </c>
      <c r="P519" s="6">
        <f>HYPERLINK("https://fin.land.naver.com/articles/2654199682", "매물Link")</f>
        <v/>
      </c>
      <c r="Q519" s="6">
        <f>HYPERLINK("https://map.naver.com/p/search/연기면 보통리 388-14", "지도Link")</f>
        <v/>
      </c>
      <c r="R519" s="6">
        <f>HYPERLINK("http://www.eum.go.kr/web/ar/lu/luLandDet.jsp?pnu=3611031022103880014&amp;isNoScr=script&amp;mode=search", "토지이음")</f>
        <v/>
      </c>
      <c r="S519" s="3" t="inlineStr">
        <is>
          <t>신동서남북</t>
        </is>
      </c>
      <c r="T519" s="4" t="n">
        <v>1</v>
      </c>
      <c r="U519" s="5" t="n">
        <v>198.5</v>
      </c>
      <c r="V519" s="4" t="n">
        <v>529.9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세로한면(가)</t>
        </is>
      </c>
    </row>
    <row r="520">
      <c r="A520" s="3" t="inlineStr">
        <is>
          <t>연기면 보통리 388-14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단기임대</t>
        </is>
      </c>
      <c r="G520" s="4" t="n">
        <v>200</v>
      </c>
      <c r="H520" s="4" t="n">
        <v>32</v>
      </c>
      <c r="I520" s="4" t="n">
        <v>164</v>
      </c>
      <c r="J520" s="4" t="n">
        <v>50</v>
      </c>
      <c r="K520" s="5" t="n">
        <v>4</v>
      </c>
      <c r="L520" s="4" t="n">
        <v>26</v>
      </c>
      <c r="M520" s="4" t="n">
        <v>8</v>
      </c>
      <c r="N520" s="5" t="n">
        <v>25</v>
      </c>
      <c r="O520" s="3" t="inlineStr">
        <is>
          <t>11.2일이후,엘리베이터 있는 원룸,6달도가,방1개,화1,주차편리합니다.</t>
        </is>
      </c>
      <c r="P520" s="6">
        <f>HYPERLINK("https://fin.land.naver.com/articles/2652789917", "매물Link")</f>
        <v/>
      </c>
      <c r="Q520" s="6">
        <f>HYPERLINK("https://map.naver.com/p/search/연기면 보통리 388-14", "지도Link")</f>
        <v/>
      </c>
      <c r="R520" s="6">
        <f>HYPERLINK("http://www.eum.go.kr/web/ar/lu/luLandDet.jsp?pnu=3611031022103880014&amp;isNoScr=script&amp;mode=search",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198.5</v>
      </c>
      <c r="V520" s="4" t="n">
        <v>529.9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164</v>
      </c>
      <c r="J522" s="4" t="n">
        <v>50</v>
      </c>
      <c r="K522" s="5" t="n">
        <v>0.6</v>
      </c>
      <c r="L522" s="4" t="n">
        <v>26</v>
      </c>
      <c r="M522" s="4" t="n">
        <v>8</v>
      </c>
      <c r="N522" s="5" t="n">
        <v>3.8</v>
      </c>
      <c r="O522" s="3" t="inlineStr">
        <is>
          <t>12.20일이후,엘리베이터 있는 원룸,6달도가,방1개,화1,주차편리</t>
        </is>
      </c>
      <c r="P522" s="6">
        <f>HYPERLINK("https://fin.land.naver.com/articles/2652081673",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단기임대</t>
        </is>
      </c>
      <c r="G523" s="4" t="n">
        <v>200</v>
      </c>
      <c r="H523" s="4" t="n">
        <v>30</v>
      </c>
      <c r="I523" s="4" t="n">
        <v>164</v>
      </c>
      <c r="J523" s="4" t="n">
        <v>50</v>
      </c>
      <c r="K523" s="5" t="n">
        <v>4</v>
      </c>
      <c r="L523" s="4" t="n">
        <v>26</v>
      </c>
      <c r="M523" s="4" t="n">
        <v>8</v>
      </c>
      <c r="N523" s="5" t="n">
        <v>25</v>
      </c>
      <c r="O523" s="3" t="inlineStr">
        <is>
          <t>nan</t>
        </is>
      </c>
      <c r="P523" s="6">
        <f>HYPERLINK("https://fin.land.naver.com/articles/2651124675",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nan</t>
        </is>
      </c>
      <c r="P524" s="6">
        <f>HYPERLINK("https://fin.land.naver.com/articles/2653082796",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단기임대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4</v>
      </c>
      <c r="L525" s="4" t="n">
        <v>26</v>
      </c>
      <c r="M525" s="4" t="n">
        <v>8</v>
      </c>
      <c r="N525" s="5" t="n">
        <v>25</v>
      </c>
      <c r="O525" s="3" t="inlineStr">
        <is>
          <t>nan</t>
        </is>
      </c>
      <c r="P525" s="6">
        <f>HYPERLINK("https://fin.land.naver.com/articles/2654200207",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신동서남북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389-3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단독</t>
        </is>
      </c>
      <c r="F527" s="3" t="inlineStr">
        <is>
          <t>매매</t>
        </is>
      </c>
      <c r="G527" s="4" t="n">
        <v>150000</v>
      </c>
      <c r="H527" s="4" t="n">
        <v>0</v>
      </c>
      <c r="I527" s="4" t="n">
        <v>536</v>
      </c>
      <c r="J527" s="4" t="n">
        <v>162</v>
      </c>
      <c r="K527" s="5" t="n">
        <v>925.9</v>
      </c>
      <c r="L527" s="4" t="n">
        <v>527</v>
      </c>
      <c r="M527" s="4" t="n">
        <v>159</v>
      </c>
      <c r="N527" s="5" t="n">
        <v>943.4</v>
      </c>
      <c r="O527" s="3" t="inlineStr">
        <is>
          <t>스마트산업단지 예정 초입위치 수익형 다가구주택 통매매</t>
        </is>
      </c>
      <c r="P527" s="6">
        <f>HYPERLINK("https://fin.land.naver.com/articles/2651025903", "매물Link")</f>
        <v/>
      </c>
      <c r="Q527" s="6">
        <f>HYPERLINK("https://map.naver.com/p/search/연기면 보통리 389-3", "지도Link")</f>
        <v/>
      </c>
      <c r="R527" s="6">
        <f>HYPERLINK("http://www.eum.go.kr/web/ar/lu/luLandDet.jsp?pnu=3611031022103890003&amp;isNoScr=script&amp;mode=search",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198.5</v>
      </c>
      <c r="V527" s="4" t="n">
        <v>536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389-4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매매</t>
        </is>
      </c>
      <c r="G528" s="4" t="n">
        <v>145000</v>
      </c>
      <c r="H528" s="4" t="n">
        <v>0</v>
      </c>
      <c r="I528" s="4" t="n">
        <v>538</v>
      </c>
      <c r="J528" s="4" t="n">
        <v>163</v>
      </c>
      <c r="K528" s="5" t="n">
        <v>889.6</v>
      </c>
      <c r="L528" s="4" t="n">
        <v>527</v>
      </c>
      <c r="M528" s="4" t="n">
        <v>159</v>
      </c>
      <c r="N528" s="5" t="n">
        <v>911.9</v>
      </c>
      <c r="O528" s="3" t="inlineStr">
        <is>
          <t>스마트산업단지 예정 초입위치 수익형 다가구주택 통매매</t>
        </is>
      </c>
      <c r="P528" s="6">
        <f>HYPERLINK("https://fin.land.naver.com/articles/2651026578", "매물Link")</f>
        <v/>
      </c>
      <c r="Q528" s="6">
        <f>HYPERLINK("https://map.naver.com/p/search/연기면 보통리 389-4", "지도Link")</f>
        <v/>
      </c>
      <c r="R528" s="6">
        <f>HYPERLINK("http://www.eum.go.kr/web/ar/lu/luLandDet.jsp?pnu=3611031022103890004&amp;isNoScr=script&amp;mode=search",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198.5</v>
      </c>
      <c r="V528" s="4" t="n">
        <v>538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즉시 7일여유,햇빛우수,인기많은원룸,도시가스 ,산울동 차량 5분정도</t>
        </is>
      </c>
      <c r="P534" s="6">
        <f>HYPERLINK("https://fin.land.naver.com/articles/2653917737",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0.7</v>
      </c>
      <c r="L535" s="4" t="n">
        <v>23</v>
      </c>
      <c r="M535" s="4" t="n">
        <v>7</v>
      </c>
      <c r="N535" s="5" t="n">
        <v>5</v>
      </c>
      <c r="O535" s="3" t="inlineStr">
        <is>
          <t>즉시 7일여유,햇빛우수,인기많은원룸,도시가스 ,산울동 차량 5분정도</t>
        </is>
      </c>
      <c r="P535" s="6">
        <f>HYPERLINK("https://fin.land.naver.com/articles/2654818101",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0.7</v>
      </c>
      <c r="L536" s="4" t="n">
        <v>23</v>
      </c>
      <c r="M536" s="4" t="n">
        <v>7</v>
      </c>
      <c r="N536" s="5" t="n">
        <v>5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HYPERLINK("https://fin.land.naver.com/articles/2655199703",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nan</t>
        </is>
      </c>
      <c r="P537" s="6">
        <f>HYPERLINK("https://fin.land.naver.com/articles/2655920477",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4.2</v>
      </c>
      <c r="L538" s="4" t="n">
        <v>23</v>
      </c>
      <c r="M538" s="4" t="n">
        <v>7</v>
      </c>
      <c r="N538" s="5" t="n">
        <v>28.6</v>
      </c>
      <c r="O538" s="3" t="inlineStr">
        <is>
          <t>nan</t>
        </is>
      </c>
      <c r="P538" s="6">
        <f>HYPERLINK("https://fin.land.naver.com/articles/2653917199",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단기임대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4.2</v>
      </c>
      <c r="L539" s="4" t="n">
        <v>23</v>
      </c>
      <c r="M539" s="4" t="n">
        <v>7</v>
      </c>
      <c r="N539" s="5" t="n">
        <v>28.6</v>
      </c>
      <c r="O539" s="3" t="inlineStr">
        <is>
          <t>즉시7일여유 방1개 화1개 인기많은원룸, 도시가스,내부 밝은 화이트톤</t>
        </is>
      </c>
      <c r="P539" s="6">
        <f>HYPERLINK("https://fin.land.naver.com/articles/2655200081",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신동서남북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HYPERLINK("https://fin.land.naver.com/articles/2654819334",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5</v>
      </c>
      <c r="O541" s="3" t="inlineStr">
        <is>
          <t>단기가능월세변동, 깔끔 분리형 원룸, 풀옵션, 가성비 최고</t>
        </is>
      </c>
      <c r="P541" s="6">
        <f>HYPERLINK("https://fin.land.naver.com/articles/2655242481", "매물Link")</f>
        <v/>
      </c>
      <c r="Q541" s="6">
        <f>HYPERLINK("https://map.naver.com/p/search/연기면 보통리 390-23", "지도Link")</f>
        <v/>
      </c>
      <c r="R541" s="6">
        <f>HYPERLINK("http://www.eum.go.kr/web/ar/lu/luLandDet.jsp?pnu=3611031022103900023&amp;isNoScr=script&amp;mode=search",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198.5</v>
      </c>
      <c r="V541" s="4" t="n">
        <v>425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392-31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5000</v>
      </c>
      <c r="H542" s="4" t="n">
        <v>0</v>
      </c>
      <c r="I542" s="4" t="n">
        <v>157</v>
      </c>
      <c r="J542" s="4" t="n">
        <v>47</v>
      </c>
      <c r="K542" s="5" t="n">
        <v>106.4</v>
      </c>
      <c r="L542" s="4" t="n">
        <v>26</v>
      </c>
      <c r="M542" s="4" t="n">
        <v>8</v>
      </c>
      <c r="N542" s="5" t="n">
        <v>625</v>
      </c>
      <c r="O542" s="3" t="inlineStr">
        <is>
          <t>nan</t>
        </is>
      </c>
      <c r="P542" s="6">
        <f>HYPERLINK("https://fin.land.naver.com/articles/2651492332", "매물Link")</f>
        <v/>
      </c>
      <c r="Q542" s="6">
        <f>HYPERLINK("https://map.naver.com/p/search/연기면 보통리 392-31", "지도Link")</f>
        <v/>
      </c>
      <c r="R542" s="6">
        <f>HYPERLINK("http://www.eum.go.kr/web/ar/lu/luLandDet.jsp?pnu=3611031022103920031&amp;isNoScr=script&amp;mode=search",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176</v>
      </c>
      <c r="V542" s="4" t="n">
        <v>532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완경사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HYPERLINK("https://fin.land.naver.com/articles/2655335247",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35</v>
      </c>
      <c r="I545" s="4" t="n">
        <v>193</v>
      </c>
      <c r="J545" s="4" t="n">
        <v>58</v>
      </c>
      <c r="K545" s="5" t="n">
        <v>0.6</v>
      </c>
      <c r="L545" s="4" t="n">
        <v>25</v>
      </c>
      <c r="M545" s="4" t="n">
        <v>8</v>
      </c>
      <c r="N545" s="5" t="n">
        <v>4.4</v>
      </c>
      <c r="O545" s="3" t="inlineStr">
        <is>
          <t>인기좋은 풀옵션 완비방  넓은창  채광좋음   주차편함 나성동10분</t>
        </is>
      </c>
      <c r="P545" s="6">
        <f>HYPERLINK("https://fin.land.naver.com/articles/2656065339", "매물Link")</f>
        <v/>
      </c>
      <c r="Q545" s="6">
        <f>HYPERLINK("https://map.naver.com/p/search/연기면 보통리 392-32", "지도Link")</f>
        <v/>
      </c>
      <c r="R545" s="6">
        <f>HYPERLINK("http://www.eum.go.kr/web/ar/lu/luLandDet.jsp?pnu=3611031022103920032&amp;isNoScr=script&amp;mode=search", "토지이음")</f>
        <v/>
      </c>
      <c r="S545" s="3" t="inlineStr">
        <is>
          <t>연서으뜸</t>
        </is>
      </c>
      <c r="T545" s="4" t="n">
        <v>1</v>
      </c>
      <c r="U545" s="5" t="n">
        <v>187.2</v>
      </c>
      <c r="V545" s="4" t="n">
        <v>814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32</v>
      </c>
      <c r="I546" s="4" t="n">
        <v>193</v>
      </c>
      <c r="J546" s="4" t="n">
        <v>58</v>
      </c>
      <c r="K546" s="5" t="n">
        <v>0.6</v>
      </c>
      <c r="L546" s="4" t="n">
        <v>25</v>
      </c>
      <c r="M546" s="4" t="n">
        <v>8</v>
      </c>
      <c r="N546" s="5" t="n">
        <v>4</v>
      </c>
      <c r="O546" s="3" t="inlineStr">
        <is>
          <t>인기좋은 풀옵션완비방   주차편함  바로입주  짐만 가져오세요 해밀동5분</t>
        </is>
      </c>
      <c r="P546" s="6">
        <f>HYPERLINK("https://fin.land.naver.com/articles/2656257749", "매물Link")</f>
        <v/>
      </c>
      <c r="Q546" s="6">
        <f>HYPERLINK("https://map.naver.com/p/search/연기면 보통리 392-32", "지도Link")</f>
        <v/>
      </c>
      <c r="R546" s="6">
        <f>HYPERLINK("http://www.eum.go.kr/web/ar/lu/luLandDet.jsp?pnu=3611031022103920032&amp;isNoScr=script&amp;mode=search", "토지이음")</f>
        <v/>
      </c>
      <c r="S546" s="3" t="inlineStr">
        <is>
          <t>연서으뜸</t>
        </is>
      </c>
      <c r="T546" s="4" t="n">
        <v>2</v>
      </c>
      <c r="U546" s="5" t="n">
        <v>187.2</v>
      </c>
      <c r="V546" s="4" t="n">
        <v>814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</v>
      </c>
      <c r="H547" s="4" t="n">
        <v>60</v>
      </c>
      <c r="I547" s="4" t="n">
        <v>0</v>
      </c>
      <c r="J547" s="4" t="n">
        <v>0</v>
      </c>
      <c r="K547" s="5" t="n">
        <v>0</v>
      </c>
      <c r="L547" s="4" t="n">
        <v>49</v>
      </c>
      <c r="M547" s="4" t="n">
        <v>15</v>
      </c>
      <c r="N547" s="5" t="n">
        <v>4</v>
      </c>
      <c r="O547" s="3" t="inlineStr">
        <is>
          <t>투 룸 , 귀한 2층 매물 입니다.</t>
        </is>
      </c>
      <c r="P547" s="6">
        <f>HYPERLINK("https://fin.land.naver.com/articles/2655277555",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지성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수산리 332-13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50000</v>
      </c>
      <c r="H548" s="4" t="n">
        <v>0</v>
      </c>
      <c r="I548" s="4" t="n">
        <v>508</v>
      </c>
      <c r="J548" s="4" t="n">
        <v>154</v>
      </c>
      <c r="K548" s="5" t="n">
        <v>324.7</v>
      </c>
      <c r="L548" s="4" t="n">
        <v>98</v>
      </c>
      <c r="M548" s="4" t="n">
        <v>30</v>
      </c>
      <c r="N548" s="5" t="n">
        <v>1666.7</v>
      </c>
      <c r="O548" s="3" t="inlineStr">
        <is>
          <t>행복도심 인접 프라이빗 전원주택, 마당 캠핑과 태양열을 갖춘 힐링 매물</t>
        </is>
      </c>
      <c r="P548" s="6">
        <f>HYPERLINK("https://fin.land.naver.com/articles/2655996927", "매물Link")</f>
        <v/>
      </c>
      <c r="Q548" s="6">
        <f>HYPERLINK("https://map.naver.com/p/search/연기면 수산리 332-13", "지도Link")</f>
        <v/>
      </c>
      <c r="R548" s="6">
        <f>HYPERLINK("http://www.eum.go.kr/web/ar/lu/luLandDet.jsp?pnu=3611031024103320013&amp;isNoScr=script&amp;mode=search", "토지이음")</f>
        <v/>
      </c>
      <c r="S548" s="3" t="inlineStr">
        <is>
          <t>세종신한</t>
        </is>
      </c>
      <c r="T548" s="4" t="n">
        <v>1</v>
      </c>
      <c r="U548" s="5" t="n">
        <v>82.2</v>
      </c>
      <c r="V548" s="4" t="n">
        <v>508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수산리 332-7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70000</v>
      </c>
      <c r="H549" s="4" t="n">
        <v>0</v>
      </c>
      <c r="I549" s="4" t="n">
        <v>496</v>
      </c>
      <c r="J549" s="4" t="n">
        <v>150</v>
      </c>
      <c r="K549" s="5" t="n">
        <v>466.7</v>
      </c>
      <c r="L549" s="4" t="n">
        <v>98</v>
      </c>
      <c r="M549" s="4" t="n">
        <v>30</v>
      </c>
      <c r="N549" s="5" t="n">
        <v>2333.3</v>
      </c>
      <c r="O549" s="3" t="inlineStr">
        <is>
          <t>공기좋고 뷰 좋은 전원단독주택</t>
        </is>
      </c>
      <c r="P549" s="6">
        <f>HYPERLINK("https://fin.land.naver.com/articles/2650856622", "매물Link")</f>
        <v/>
      </c>
      <c r="Q549" s="6">
        <f>HYPERLINK("https://map.naver.com/p/search/연기면 수산리 332-7", "지도Link")</f>
        <v/>
      </c>
      <c r="R549" s="6">
        <f>HYPERLINK("http://www.eum.go.kr/web/ar/lu/luLandDet.jsp?pnu=3611031024103320007&amp;isNoScr=script&amp;mode=search", "토지이음")</f>
        <v/>
      </c>
      <c r="S549" s="3" t="inlineStr">
        <is>
          <t>세종대박</t>
        </is>
      </c>
      <c r="T549" s="4" t="n">
        <v>1</v>
      </c>
      <c r="U549" s="5" t="n">
        <v>82.2</v>
      </c>
      <c r="V549" s="4" t="n">
        <v>496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수산리 449-2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59000</v>
      </c>
      <c r="H550" s="4" t="n">
        <v>0</v>
      </c>
      <c r="I550" s="4" t="n">
        <v>498</v>
      </c>
      <c r="J550" s="4" t="n">
        <v>151</v>
      </c>
      <c r="K550" s="5" t="n">
        <v>390.7</v>
      </c>
      <c r="L550" s="4" t="n">
        <v>105</v>
      </c>
      <c r="M550" s="4" t="n">
        <v>32</v>
      </c>
      <c r="N550" s="5" t="n">
        <v>1843.8</v>
      </c>
      <c r="O550" s="3" t="inlineStr">
        <is>
          <t>행복도시 5분거리 수산리 자연취락지구 내 전원주택, 창고 있음</t>
        </is>
      </c>
      <c r="P550" s="6">
        <f>HYPERLINK("https://fin.land.naver.com/articles/2652025098", "매물Link")</f>
        <v/>
      </c>
      <c r="Q550" s="6">
        <f>HYPERLINK("https://map.naver.com/p/search/연기면 수산리 449-2", "지도Link")</f>
        <v/>
      </c>
      <c r="R550" s="6">
        <f>HYPERLINK("http://www.eum.go.kr/web/ar/lu/luLandDet.jsp?pnu=3611031024104490002&amp;isNoScr=script&amp;mode=search", "토지이음")</f>
        <v/>
      </c>
      <c r="S550" s="3" t="inlineStr">
        <is>
          <t>미스터홈즈강남지사</t>
        </is>
      </c>
      <c r="T550" s="4" t="n">
        <v>1</v>
      </c>
      <c r="U550" s="5" t="n">
        <v>117.4</v>
      </c>
      <c r="V550" s="4" t="n">
        <v>498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534-16</t>
        </is>
      </c>
      <c r="B551" s="3" t="inlineStr">
        <is>
          <t>보전관리지역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43000</v>
      </c>
      <c r="H551" s="4" t="n">
        <v>0</v>
      </c>
      <c r="I551" s="4" t="n">
        <v>456</v>
      </c>
      <c r="J551" s="4" t="n">
        <v>138</v>
      </c>
      <c r="K551" s="5" t="n">
        <v>311.6</v>
      </c>
      <c r="L551" s="4" t="n">
        <v>50</v>
      </c>
      <c r="M551" s="4" t="n">
        <v>15</v>
      </c>
      <c r="N551" s="5" t="n">
        <v>2866.7</v>
      </c>
      <c r="O551" s="3" t="inlineStr">
        <is>
          <t>수산리 독일마을 내 세컨하우스로 좋은 집. 자갈마당.</t>
        </is>
      </c>
      <c r="P551" s="6">
        <f>HYPERLINK("https://fin.land.naver.com/articles/2652103284", "매물Link")</f>
        <v/>
      </c>
      <c r="Q551" s="6">
        <f>HYPERLINK("https://map.naver.com/p/search/연기면 수산리 534-16", "지도Link")</f>
        <v/>
      </c>
      <c r="R551" s="6">
        <f>HYPERLINK("http://www.eum.go.kr/web/ar/lu/luLandDet.jsp?pnu=3611031024105340016&amp;isNoScr=script&amp;mode=search",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82.2</v>
      </c>
      <c r="V551" s="4" t="n">
        <v>456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564-5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40000</v>
      </c>
      <c r="H553" s="4" t="n">
        <v>0</v>
      </c>
      <c r="I553" s="4" t="n">
        <v>404</v>
      </c>
      <c r="J553" s="4" t="n">
        <v>122</v>
      </c>
      <c r="K553" s="5" t="n">
        <v>327.9</v>
      </c>
      <c r="L553" s="4" t="n">
        <v>42</v>
      </c>
      <c r="M553" s="4" t="n">
        <v>13</v>
      </c>
      <c r="N553" s="5" t="n">
        <v>3076.9</v>
      </c>
      <c r="O553" s="3" t="inlineStr">
        <is>
          <t>세종 인접 전원단지내  단독 주택, 2종근린</t>
        </is>
      </c>
      <c r="P553" s="6">
        <f>HYPERLINK("https://fin.land.naver.com/articles/2655091869", "매물Link")</f>
        <v/>
      </c>
      <c r="Q553" s="6">
        <f>HYPERLINK("https://map.naver.com/p/search/연기면 수산리 564-5", "지도Link")</f>
        <v/>
      </c>
      <c r="R553" s="6">
        <f>HYPERLINK("http://www.eum.go.kr/web/ar/lu/luLandDet.jsp?pnu=3611031024105640005&amp;isNoScr=script&amp;mode=search", "토지이음")</f>
        <v/>
      </c>
      <c r="S553" s="3" t="inlineStr">
        <is>
          <t>큰길</t>
        </is>
      </c>
      <c r="T553" s="4" t="n">
        <v>1</v>
      </c>
      <c r="U553" s="5" t="n">
        <v>84.59999999999999</v>
      </c>
      <c r="V553" s="4" t="n">
        <v>404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38000</v>
      </c>
      <c r="H554" s="4" t="n">
        <v>0</v>
      </c>
      <c r="I554" s="4" t="n">
        <v>404</v>
      </c>
      <c r="J554" s="4" t="n">
        <v>122</v>
      </c>
      <c r="K554" s="5" t="n">
        <v>311.5</v>
      </c>
      <c r="L554" s="4" t="n">
        <v>42</v>
      </c>
      <c r="M554" s="4" t="n">
        <v>13</v>
      </c>
      <c r="N554" s="5" t="n">
        <v>2923.1</v>
      </c>
      <c r="O554" s="3" t="inlineStr">
        <is>
          <t>세컨하우스 추천,행복도심 매우 근접, 도심의 편리함과 힐링을 동시에</t>
        </is>
      </c>
      <c r="P554" s="6">
        <f>HYPERLINK("https://fin.land.naver.com/articles/2655996537",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세종신한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1-59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45</v>
      </c>
      <c r="I555" s="4" t="n">
        <v>129</v>
      </c>
      <c r="J555" s="4" t="n">
        <v>39</v>
      </c>
      <c r="K555" s="5" t="n">
        <v>1.2</v>
      </c>
      <c r="L555" s="4" t="n">
        <v>23</v>
      </c>
      <c r="M555" s="4" t="n">
        <v>7</v>
      </c>
      <c r="N555" s="5" t="n">
        <v>6.4</v>
      </c>
      <c r="O555" s="3" t="inlineStr">
        <is>
          <t>11.3일이후,방1개거실,1.5룸추천.3달도가능,산울동차량5분,도시가스</t>
        </is>
      </c>
      <c r="P555" s="6">
        <f>HYPERLINK("https://fin.land.naver.com/articles/2655226598", "매물Link")</f>
        <v/>
      </c>
      <c r="Q555" s="6">
        <f>HYPERLINK("https://map.naver.com/p/search/연기면 연기리 1-59", "지도Link")</f>
        <v/>
      </c>
      <c r="R555" s="6">
        <f>HYPERLINK("http://www.eum.go.kr/web/ar/lu/luLandDet.jsp?pnu=3611031021100010059&amp;isNoScr=script&amp;mode=search",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175.7</v>
      </c>
      <c r="V555" s="4" t="n">
        <v>274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45</v>
      </c>
      <c r="I556" s="4" t="n">
        <v>129</v>
      </c>
      <c r="J556" s="4" t="n">
        <v>39</v>
      </c>
      <c r="K556" s="5" t="n">
        <v>5.1</v>
      </c>
      <c r="L556" s="4" t="n">
        <v>39</v>
      </c>
      <c r="M556" s="4" t="n">
        <v>12</v>
      </c>
      <c r="N556" s="5" t="n">
        <v>16.7</v>
      </c>
      <c r="O556" s="3" t="inlineStr">
        <is>
          <t>11.3일이,후 방1개 거실별도1.5룸,4달도가능,도시가스 입니다.</t>
        </is>
      </c>
      <c r="P556" s="6">
        <f>HYPERLINK("https://fin.land.naver.com/articles/2653914927",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40</v>
      </c>
      <c r="I557" s="4" t="n">
        <v>129</v>
      </c>
      <c r="J557" s="4" t="n">
        <v>39</v>
      </c>
      <c r="K557" s="5" t="n">
        <v>1</v>
      </c>
      <c r="L557" s="4" t="n">
        <v>39</v>
      </c>
      <c r="M557" s="4" t="n">
        <v>12</v>
      </c>
      <c r="N557" s="5" t="n">
        <v>3.3</v>
      </c>
      <c r="O557" s="3" t="inlineStr">
        <is>
          <t>11.3일이,후 방1개 거실별도1.5룸,4달도가능,도시가스 입니다.</t>
        </is>
      </c>
      <c r="P557" s="6">
        <f>HYPERLINK("https://fin.land.naver.com/articles/2653913590",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1.5</v>
      </c>
      <c r="L558" s="4" t="n">
        <v>59</v>
      </c>
      <c r="M558" s="4" t="n">
        <v>18</v>
      </c>
      <c r="N558" s="5" t="n">
        <v>3.3</v>
      </c>
      <c r="O558" s="3" t="inlineStr">
        <is>
          <t>11.30일이후,방2개,거화1,거실별도1.5룸  6달도가능합니다.</t>
        </is>
      </c>
      <c r="P558" s="6">
        <f>HYPERLINK("https://fin.land.naver.com/articles/2651358410",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300</v>
      </c>
      <c r="H559" s="4" t="n">
        <v>60</v>
      </c>
      <c r="I559" s="4" t="n">
        <v>129</v>
      </c>
      <c r="J559" s="4" t="n">
        <v>39</v>
      </c>
      <c r="K559" s="5" t="n">
        <v>7.7</v>
      </c>
      <c r="L559" s="4" t="n">
        <v>59</v>
      </c>
      <c r="M559" s="4" t="n">
        <v>18</v>
      </c>
      <c r="N559" s="5" t="n">
        <v>16.7</v>
      </c>
      <c r="O559" s="3" t="inlineStr">
        <is>
          <t>11.30일이후,방2개,거화1,거실별도1.5룸  6달도가능합니다.</t>
        </is>
      </c>
      <c r="P559" s="6">
        <f>HYPERLINK("https://fin.land.naver.com/articles/2651358883",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1-60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72000</v>
      </c>
      <c r="H561" s="4" t="n">
        <v>0</v>
      </c>
      <c r="I561" s="4" t="n">
        <v>266</v>
      </c>
      <c r="J561" s="4" t="n">
        <v>80</v>
      </c>
      <c r="K561" s="5" t="n">
        <v>900</v>
      </c>
      <c r="L561" s="4" t="n">
        <v>398</v>
      </c>
      <c r="M561" s="4" t="n">
        <v>120</v>
      </c>
      <c r="N561" s="5" t="n">
        <v>600</v>
      </c>
      <c r="O561" s="3" t="inlineStr">
        <is>
          <t>토지거래허가구역 원룸5,1.5룸5,투룸2,주인세대1,실투자5억1천400만</t>
        </is>
      </c>
      <c r="P561" s="6">
        <f>HYPERLINK("https://fin.land.naver.com/articles/2651364203", "매물Link")</f>
        <v/>
      </c>
      <c r="Q561" s="6">
        <f>HYPERLINK("https://map.naver.com/p/search/연기면 연기리 1-60", "지도Link")</f>
        <v/>
      </c>
      <c r="R561" s="6">
        <f>HYPERLINK("http://www.eum.go.kr/web/ar/lu/luLandDet.jsp?pnu=3611031021100010060&amp;isNoScr=script&amp;mode=search",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175.7</v>
      </c>
      <c r="V561" s="4" t="n">
        <v>266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4500</v>
      </c>
      <c r="H562" s="4" t="n">
        <v>0</v>
      </c>
      <c r="I562" s="4" t="n">
        <v>128</v>
      </c>
      <c r="J562" s="4" t="n">
        <v>39</v>
      </c>
      <c r="K562" s="5" t="n">
        <v>115.4</v>
      </c>
      <c r="L562" s="4" t="n">
        <v>39</v>
      </c>
      <c r="M562" s="4" t="n">
        <v>12</v>
      </c>
      <c r="N562" s="5" t="n">
        <v>375</v>
      </c>
      <c r="O562" s="3" t="inlineStr">
        <is>
          <t>10.8일이후,방1개 거실별도 1.5 ,6달도 가능,주방분리,도시가스</t>
        </is>
      </c>
      <c r="P562" s="6">
        <f>HYPERLINK("https://fin.land.naver.com/articles/2651122920", "매물Link")</f>
        <v/>
      </c>
      <c r="Q562" s="6">
        <f>HYPERLINK("https://map.naver.com/p/search/연기면 연기리 1-61", "지도Link")</f>
        <v/>
      </c>
      <c r="R562" s="6">
        <f>HYPERLINK("http://www.eum.go.kr/web/ar/lu/luLandDet.jsp?pnu=3611031021100010061&amp;isNoScr=script&amp;mode=search",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39</v>
      </c>
      <c r="J564" s="4" t="n">
        <v>12</v>
      </c>
      <c r="K564" s="5" t="n">
        <v>3.3</v>
      </c>
      <c r="L564" s="4" t="n">
        <v>39</v>
      </c>
      <c r="M564" s="4" t="n">
        <v>12</v>
      </c>
      <c r="N564" s="5" t="n">
        <v>3.3</v>
      </c>
      <c r="O564" s="3" t="inlineStr">
        <is>
          <t>11.3일이후,방1개 거실별도 1.5 ,4달도 가능,주방분리,도시가스</t>
        </is>
      </c>
      <c r="P564" s="6">
        <f>HYPERLINK("https://fin.land.naver.com/articles/2651122403", "매물Link")</f>
        <v/>
      </c>
      <c r="Q564" s="6">
        <f>HYPERLINK("https://map.naver.com/p/search/연기면 연기리 1-61", "지도Link")</f>
        <v/>
      </c>
      <c r="R564" s="6">
        <f>HYPERLINK("http://www.eum.go.kr/web/ar/lu/luLandDet.jsp?pnu=3611031021100010061&amp;isNoScr=script&amp;mode=search",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271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1-64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100</v>
      </c>
      <c r="H565" s="4" t="n">
        <v>30</v>
      </c>
      <c r="I565" s="4" t="n">
        <v>235</v>
      </c>
      <c r="J565" s="4" t="n">
        <v>71</v>
      </c>
      <c r="K565" s="5" t="n">
        <v>0.4</v>
      </c>
      <c r="L565" s="4" t="n">
        <v>235</v>
      </c>
      <c r="M565" s="4" t="n">
        <v>71</v>
      </c>
      <c r="N565" s="5" t="n">
        <v>0.4</v>
      </c>
      <c r="O565" s="3" t="inlineStr">
        <is>
          <t>세종시 연기면 원룸 임대</t>
        </is>
      </c>
      <c r="P565" s="6">
        <f>HYPERLINK("https://fin.land.naver.com/articles/2653205192", "매물Link")</f>
        <v/>
      </c>
      <c r="Q565" s="6">
        <f>HYPERLINK("https://map.naver.com/p/search/연기면 연기리 1-64", "지도Link")</f>
        <v/>
      </c>
      <c r="R565" s="6">
        <f>HYPERLINK("http://www.eum.go.kr/web/ar/lu/luLandDet.jsp?pnu=3611031021100010064&amp;isNoScr=script&amp;mode=search",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175.7</v>
      </c>
      <c r="V565" s="4" t="n">
        <v>403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1-79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379</v>
      </c>
      <c r="J566" s="4" t="n">
        <v>115</v>
      </c>
      <c r="K566" s="5" t="n">
        <v>869.6</v>
      </c>
      <c r="L566" s="4" t="n">
        <v>205</v>
      </c>
      <c r="M566" s="4" t="n">
        <v>62</v>
      </c>
      <c r="N566" s="5" t="n">
        <v>1612.9</v>
      </c>
      <c r="O566" s="3" t="inlineStr">
        <is>
          <t>햇빛잘드는 2층 단독주택</t>
        </is>
      </c>
      <c r="P566" s="6">
        <f>HYPERLINK("https://fin.land.naver.com/articles/2655169359", "매물Link")</f>
        <v/>
      </c>
      <c r="Q566" s="6">
        <f>HYPERLINK("https://map.naver.com/p/search/연기면 연기리 1-79", "지도Link")</f>
        <v/>
      </c>
      <c r="R566" s="6">
        <f>HYPERLINK("http://www.eum.go.kr/web/ar/lu/luLandDet.jsp?pnu=3611031021100010079&amp;isNoScr=script&amp;mode=search",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189.3</v>
      </c>
      <c r="V566" s="4" t="n">
        <v>379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1-90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67000</v>
      </c>
      <c r="H567" s="4" t="n">
        <v>0</v>
      </c>
      <c r="I567" s="4" t="n">
        <v>338</v>
      </c>
      <c r="J567" s="4" t="n">
        <v>102</v>
      </c>
      <c r="K567" s="5" t="n">
        <v>656.9</v>
      </c>
      <c r="L567" s="4" t="n">
        <v>117</v>
      </c>
      <c r="M567" s="4" t="n">
        <v>35</v>
      </c>
      <c r="N567" s="5" t="n">
        <v>1914.3</v>
      </c>
      <c r="O567" s="3" t="inlineStr">
        <is>
          <t>남향의 깨끗하고 뷰좋은 단독주택, 창고있음</t>
        </is>
      </c>
      <c r="P567" s="6">
        <f>HYPERLINK("https://fin.land.naver.com/articles/2655085958", "매물Link")</f>
        <v/>
      </c>
      <c r="Q567" s="6">
        <f>HYPERLINK("https://map.naver.com/p/search/연기면 연기리 1-90", "지도Link")</f>
        <v/>
      </c>
      <c r="R567" s="6">
        <f>HYPERLINK("http://www.eum.go.kr/web/ar/lu/luLandDet.jsp?pnu=3611031021100010090&amp;isNoScr=script&amp;mode=search",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187.4</v>
      </c>
      <c r="V567" s="4" t="n">
        <v>338.6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세로각지(가)</t>
        </is>
      </c>
    </row>
    <row r="568">
      <c r="A568" s="3" t="inlineStr">
        <is>
          <t>연기면 연기리 135-11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전세</t>
        </is>
      </c>
      <c r="G568" s="4" t="n">
        <v>4000</v>
      </c>
      <c r="H568" s="4" t="n">
        <v>0</v>
      </c>
      <c r="I568" s="4" t="n">
        <v>30</v>
      </c>
      <c r="J568" s="4" t="n">
        <v>9</v>
      </c>
      <c r="K568" s="5" t="n">
        <v>444.4</v>
      </c>
      <c r="L568" s="4" t="n">
        <v>21</v>
      </c>
      <c r="M568" s="4" t="n">
        <v>6</v>
      </c>
      <c r="N568" s="5" t="n">
        <v>666.7</v>
      </c>
      <c r="O568" s="3" t="inlineStr">
        <is>
          <t>보증보험 가입중.깔끔한방찾으시면.주차편한 991번 버스정류장5분</t>
        </is>
      </c>
      <c r="P568" s="6">
        <f>HYPERLINK("https://fin.land.naver.com/articles/2655741102", "매물Link")</f>
        <v/>
      </c>
      <c r="Q568" s="6">
        <f>HYPERLINK("https://map.naver.com/p/search/연기면 연기리 135-11", "지도Link")</f>
        <v/>
      </c>
      <c r="R568" s="6">
        <f>HYPERLINK("http://www.eum.go.kr/web/ar/lu/luLandDet.jsp?pnu=3611031021101350011&amp;isNoScr=script&amp;mode=search", "토지이음")</f>
        <v/>
      </c>
      <c r="S568" s="3" t="inlineStr">
        <is>
          <t>마이룸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135-9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7000</v>
      </c>
      <c r="H570" s="4" t="n">
        <v>0</v>
      </c>
      <c r="I570" s="4" t="n">
        <v>143</v>
      </c>
      <c r="J570" s="4" t="n">
        <v>43</v>
      </c>
      <c r="K570" s="5" t="n">
        <v>162.8</v>
      </c>
      <c r="L570" s="4" t="n">
        <v>49</v>
      </c>
      <c r="M570" s="4" t="n">
        <v>15</v>
      </c>
      <c r="N570" s="5" t="n">
        <v>466.7</v>
      </c>
      <c r="O570" s="3" t="inlineStr">
        <is>
          <t>10.20일이후,주인세대같은 1.5,방1개 넓은거실별도,주방,화2개</t>
        </is>
      </c>
      <c r="P570" s="6">
        <f>HYPERLINK("https://fin.land.naver.com/articles/2652260217", "매물Link")</f>
        <v/>
      </c>
      <c r="Q570" s="6">
        <f>HYPERLINK("https://map.naver.com/p/search/연기면 연기리 135-9", "지도Link")</f>
        <v/>
      </c>
      <c r="R570" s="6">
        <f>HYPERLINK("http://www.eum.go.kr/web/ar/lu/luLandDet.jsp?pnu=3611031021101350009&amp;isNoScr=script&amp;mode=search",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32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전원주택</t>
        </is>
      </c>
      <c r="F571" s="3" t="inlineStr">
        <is>
          <t>매매</t>
        </is>
      </c>
      <c r="G571" s="4" t="n">
        <v>90000</v>
      </c>
      <c r="H571" s="4" t="n">
        <v>0</v>
      </c>
      <c r="I571" s="4" t="n">
        <v>648</v>
      </c>
      <c r="J571" s="4" t="n">
        <v>196</v>
      </c>
      <c r="K571" s="5" t="n">
        <v>459.2</v>
      </c>
      <c r="L571" s="4" t="n">
        <v>85</v>
      </c>
      <c r="M571" s="4" t="n">
        <v>26</v>
      </c>
      <c r="N571" s="5" t="n">
        <v>3461.5</v>
      </c>
      <c r="O571" s="3" t="inlineStr">
        <is>
          <t>풀리모델링 구옥 농어촌민박 에어비앤비 가능</t>
        </is>
      </c>
      <c r="P571" s="6">
        <f>HYPERLINK("https://fin.land.naver.com/articles/2652942801", "매물Link")</f>
        <v/>
      </c>
      <c r="Q571" s="6">
        <f>HYPERLINK("https://map.naver.com/p/search/연기면 연기리 32", "지도Link")</f>
        <v/>
      </c>
      <c r="R571" s="6">
        <f>HYPERLINK("http://www.eum.go.kr/web/ar/lu/luLandDet.jsp?pnu=3611031021100320000&amp;isNoScr=script&amp;mode=search", "토지이음")</f>
        <v/>
      </c>
      <c r="S571" s="3" t="inlineStr">
        <is>
          <t>세종스타</t>
        </is>
      </c>
      <c r="T571" s="4" t="n">
        <v>1</v>
      </c>
      <c r="U571" s="5" t="n">
        <v>143.2</v>
      </c>
      <c r="V571" s="4" t="n">
        <v>547.5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0.5</v>
      </c>
      <c r="L572" s="4" t="n">
        <v>23</v>
      </c>
      <c r="M572" s="4" t="n">
        <v>7</v>
      </c>
      <c r="N572" s="5" t="n">
        <v>4.3</v>
      </c>
      <c r="O572" s="3" t="inlineStr">
        <is>
          <t>11.5일이후,6달도 가능,산울동 차량 3분,연기리 상권이용편리,도시가스</t>
        </is>
      </c>
      <c r="P572" s="6">
        <f>HYPERLINK("https://fin.land.naver.com/articles/2652130579",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11.5일이후,3달도가능 난방도시가스,산울동 차량3분이내 거리입니다.</t>
        </is>
      </c>
      <c r="P574" s="6">
        <f>HYPERLINK("https://fin.land.naver.com/articles/2652234251",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신동서남북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11.2일이후, 6달도가능,산울동 차량 3분, 난방도시가스 입니다</t>
        </is>
      </c>
      <c r="P576" s="6">
        <f>HYPERLINK("https://fin.land.naver.com/articles/2651130755",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단기임대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3.3</v>
      </c>
      <c r="L577" s="4" t="n">
        <v>23</v>
      </c>
      <c r="M577" s="4" t="n">
        <v>7</v>
      </c>
      <c r="N577" s="5" t="n">
        <v>28.6</v>
      </c>
      <c r="O577" s="3" t="inlineStr">
        <is>
          <t>11.5일이후,3달도가능,도시가스 산울동 차량3</t>
        </is>
      </c>
      <c r="P577" s="6">
        <f>HYPERLINK("https://fin.land.naver.com/articles/2652133119",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3.3</v>
      </c>
      <c r="L578" s="4" t="n">
        <v>23</v>
      </c>
      <c r="M578" s="4" t="n">
        <v>7</v>
      </c>
      <c r="N578" s="5" t="n">
        <v>28.6</v>
      </c>
      <c r="O578" s="3" t="inlineStr">
        <is>
          <t>11.5일이후,4달도 가능,산울동 차량 3분,연기리 상권이용편리,도시가스</t>
        </is>
      </c>
      <c r="P578" s="6">
        <f>HYPERLINK("https://fin.land.naver.com/articles/2654824575",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352-5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100</v>
      </c>
      <c r="H579" s="4" t="n">
        <v>33</v>
      </c>
      <c r="I579" s="4" t="n">
        <v>19</v>
      </c>
      <c r="J579" s="4" t="n">
        <v>6</v>
      </c>
      <c r="K579" s="5" t="n">
        <v>5.5</v>
      </c>
      <c r="L579" s="4" t="n">
        <v>19</v>
      </c>
      <c r="M579" s="4" t="n">
        <v>6</v>
      </c>
      <c r="N579" s="5" t="n">
        <v>5.5</v>
      </c>
      <c r="O579" s="3" t="inlineStr">
        <is>
          <t>세종시 연기면 연기리 원룸 임대</t>
        </is>
      </c>
      <c r="P579" s="6">
        <f>HYPERLINK("https://fin.land.naver.com/articles/2656181646", "매물Link")</f>
        <v/>
      </c>
      <c r="Q579" s="6">
        <f>HYPERLINK("https://map.naver.com/p/search/연기면 연기리 352-5", "지도Link")</f>
        <v/>
      </c>
      <c r="R579" s="6">
        <f>HYPERLINK("http://www.eum.go.kr/web/ar/lu/luLandDet.jsp?pnu=3611031021103520005&amp;isNoScr=script&amp;mode=search", "토지이음")</f>
        <v/>
      </c>
      <c r="S579" s="3" t="inlineStr">
        <is>
          <t>동원</t>
        </is>
      </c>
      <c r="T579" s="4" t="n">
        <v>1</v>
      </c>
      <c r="U579" s="5" t="n">
        <v>158.2</v>
      </c>
      <c r="V579" s="4" t="n">
        <v>422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365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80000</v>
      </c>
      <c r="H580" s="4" t="n">
        <v>0</v>
      </c>
      <c r="I580" s="4" t="n">
        <v>522</v>
      </c>
      <c r="J580" s="4" t="n">
        <v>158</v>
      </c>
      <c r="K580" s="5" t="n">
        <v>506.3</v>
      </c>
      <c r="L580" s="4" t="n">
        <v>84</v>
      </c>
      <c r="M580" s="4" t="n">
        <v>25</v>
      </c>
      <c r="N580" s="5" t="n">
        <v>3200</v>
      </c>
      <c r="O580" s="3" t="inlineStr">
        <is>
          <t>투자 가치 높은 단독주택</t>
        </is>
      </c>
      <c r="P580" s="6">
        <f>HYPERLINK("https://fin.land.naver.com/articles/2652148114", "매물Link")</f>
        <v/>
      </c>
      <c r="Q580" s="6">
        <f>HYPERLINK("https://map.naver.com/p/search/연기면 연기리 365", "지도Link")</f>
        <v/>
      </c>
      <c r="R580" s="6">
        <f>HYPERLINK("http://www.eum.go.kr/web/ar/lu/luLandDet.jsp?pnu=3611031021103650000&amp;isNoScr=script&amp;mode=search", "토지이음")</f>
        <v/>
      </c>
      <c r="S580" s="3" t="inlineStr">
        <is>
          <t>해들일번지</t>
        </is>
      </c>
      <c r="T580" s="4" t="n">
        <v>1</v>
      </c>
      <c r="U580" s="5" t="n">
        <v>211.5</v>
      </c>
      <c r="V580" s="4" t="n">
        <v>533.7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366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34</v>
      </c>
      <c r="I581" s="4" t="n">
        <v>26</v>
      </c>
      <c r="J581" s="4" t="n">
        <v>8</v>
      </c>
      <c r="K581" s="5" t="n">
        <v>4.2</v>
      </c>
      <c r="L581" s="4" t="n">
        <v>26</v>
      </c>
      <c r="M581" s="4" t="n">
        <v>8</v>
      </c>
      <c r="N581" s="5" t="n">
        <v>4.2</v>
      </c>
      <c r="O581" s="3" t="inlineStr">
        <is>
          <t>세종시 연기면 연기리 원룸.</t>
        </is>
      </c>
      <c r="P581" s="6">
        <f>HYPERLINK("https://fin.land.naver.com/articles/2650986518", "매물Link")</f>
        <v/>
      </c>
      <c r="Q581" s="6">
        <f>HYPERLINK("https://map.naver.com/p/search/연기면 연기리 366", "지도Link")</f>
        <v/>
      </c>
      <c r="R581" s="6">
        <f>HYPERLINK("http://www.eum.go.kr/web/ar/lu/luLandDet.jsp?pnu=3611031021103660000&amp;isNoScr=script&amp;mode=search", "토지이음")</f>
        <v/>
      </c>
      <c r="S581" s="3" t="inlineStr">
        <is>
          <t>동원</t>
        </is>
      </c>
      <c r="T581" s="4" t="n">
        <v>1</v>
      </c>
      <c r="U581" s="5" t="n">
        <v>211.5</v>
      </c>
      <c r="V581" s="4" t="n">
        <v>472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100</v>
      </c>
      <c r="H583" s="4" t="n">
        <v>31</v>
      </c>
      <c r="I583" s="4" t="n">
        <v>0</v>
      </c>
      <c r="J583" s="4" t="n">
        <v>0</v>
      </c>
      <c r="K583" s="5" t="n">
        <v>0</v>
      </c>
      <c r="L583" s="4" t="n">
        <v>25</v>
      </c>
      <c r="M583" s="4" t="n">
        <v>8</v>
      </c>
      <c r="N583" s="5" t="n">
        <v>3.9</v>
      </c>
      <c r="O583" s="3" t="inlineStr">
        <is>
          <t>교통이 좋고 주차 넉넉한 연기면 연기리 원룸</t>
        </is>
      </c>
      <c r="P583" s="6">
        <f>HYPERLINK("https://fin.land.naver.com/articles/2651516212",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다가구</t>
        </is>
      </c>
      <c r="F584" s="3" t="inlineStr">
        <is>
          <t>월세</t>
        </is>
      </c>
      <c r="G584" s="4" t="n">
        <v>50</v>
      </c>
      <c r="H584" s="4" t="n">
        <v>34</v>
      </c>
      <c r="I584" s="4" t="n">
        <v>28</v>
      </c>
      <c r="J584" s="4" t="n">
        <v>8</v>
      </c>
      <c r="K584" s="5" t="n">
        <v>4.2</v>
      </c>
      <c r="L584" s="4" t="n">
        <v>25</v>
      </c>
      <c r="M584" s="4" t="n">
        <v>8</v>
      </c>
      <c r="N584" s="5" t="n">
        <v>4.2</v>
      </c>
      <c r="O584" s="3" t="inlineStr">
        <is>
          <t>교통이 좋은 원룸  연기면 연기리에 위치</t>
        </is>
      </c>
      <c r="P584" s="6">
        <f>HYPERLINK("https://fin.land.naver.com/articles/2651519250",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391-2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60</v>
      </c>
      <c r="I586" s="4" t="n">
        <v>0</v>
      </c>
      <c r="J586" s="4" t="n">
        <v>0</v>
      </c>
      <c r="K586" s="5" t="n">
        <v>0</v>
      </c>
      <c r="L586" s="4" t="n">
        <v>43</v>
      </c>
      <c r="M586" s="4" t="n">
        <v>13</v>
      </c>
      <c r="N586" s="5" t="n">
        <v>4.6</v>
      </c>
      <c r="O586" s="3" t="inlineStr">
        <is>
          <t>연기면 연기리  투룸</t>
        </is>
      </c>
      <c r="P586" s="6">
        <f>HYPERLINK("https://fin.land.naver.com/articles/2651406475", "매물Link")</f>
        <v/>
      </c>
      <c r="Q586" s="6">
        <f>HYPERLINK("https://map.naver.com/p/search/연기면 연기리 391-2", "지도Link")</f>
        <v/>
      </c>
      <c r="R586" s="6">
        <f>HYPERLINK("http://www.eum.go.kr/web/ar/lu/luLandDet.jsp?pnu=3611031021103910002&amp;isNoScr=script&amp;mode=search", "토지이음")</f>
        <v/>
      </c>
      <c r="S586" s="3" t="inlineStr">
        <is>
          <t>금강</t>
        </is>
      </c>
      <c r="T586" s="4" t="n">
        <v>1</v>
      </c>
      <c r="U586" s="5" t="n">
        <v>211.5</v>
      </c>
      <c r="V586" s="4" t="n">
        <v>335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4-13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33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4.7</v>
      </c>
      <c r="O587" s="3" t="inlineStr">
        <is>
          <t>깨끗한 원룸, 즉시입주가능</t>
        </is>
      </c>
      <c r="P587" s="6">
        <f>HYPERLINK("https://fin.land.naver.com/articles/2655258571", "매물Link")</f>
        <v/>
      </c>
      <c r="Q587" s="6">
        <f>HYPERLINK("https://map.naver.com/p/search/연기면 연기리 4-13", "지도Link")</f>
        <v/>
      </c>
      <c r="R587" s="6">
        <f>HYPERLINK("http://www.eum.go.kr/web/ar/lu/luLandDet.jsp?pnu=3611031021100040013&amp;isNoScr=script&amp;mode=search",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306</v>
      </c>
      <c r="W587" s="3" t="inlineStr">
        <is>
          <t>지정되지않음</t>
        </is>
      </c>
      <c r="X587" s="3" t="inlineStr">
        <is>
          <t>다세대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</v>
      </c>
      <c r="H588" s="4" t="n">
        <v>32</v>
      </c>
      <c r="I588" s="4" t="n">
        <v>0</v>
      </c>
      <c r="J588" s="4" t="n">
        <v>0</v>
      </c>
      <c r="K588" s="5" t="n">
        <v>0</v>
      </c>
      <c r="L588" s="4" t="n">
        <v>25</v>
      </c>
      <c r="M588" s="4" t="n">
        <v>8</v>
      </c>
      <c r="N588" s="5" t="n">
        <v>4</v>
      </c>
      <c r="O588" s="3" t="inlineStr">
        <is>
          <t>깨끗한 원룸단기가능</t>
        </is>
      </c>
      <c r="P588" s="6">
        <f>HYPERLINK("https://fin.land.naver.com/articles/2655032777",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4-8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37</v>
      </c>
      <c r="I589" s="4" t="n">
        <v>451</v>
      </c>
      <c r="J589" s="4" t="n">
        <v>136</v>
      </c>
      <c r="K589" s="5" t="n">
        <v>0.3</v>
      </c>
      <c r="L589" s="4" t="n">
        <v>451</v>
      </c>
      <c r="M589" s="4" t="n">
        <v>136</v>
      </c>
      <c r="N589" s="5" t="n">
        <v>0.3</v>
      </c>
      <c r="O589" s="3" t="inlineStr">
        <is>
          <t>세종시 연기면 원룸 임대 단기가능</t>
        </is>
      </c>
      <c r="P589" s="6">
        <f>HYPERLINK("https://fin.land.naver.com/articles/2652489543", "매물Link")</f>
        <v/>
      </c>
      <c r="Q589" s="6">
        <f>HYPERLINK("https://map.naver.com/p/search/연기면 연기리 4-8", "지도Link")</f>
        <v/>
      </c>
      <c r="R589" s="6">
        <f>HYPERLINK("http://www.eum.go.kr/web/ar/lu/luLandDet.jsp?pnu=3611031021100040008&amp;isNoScr=script&amp;mode=search", "토지이음")</f>
        <v/>
      </c>
      <c r="S589" s="3" t="inlineStr">
        <is>
          <t>동원</t>
        </is>
      </c>
      <c r="T589" s="4" t="n">
        <v>1</v>
      </c>
      <c r="U589" s="5" t="n">
        <v>175.7</v>
      </c>
      <c r="V589" s="4" t="n">
        <v>302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415-5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</v>
      </c>
      <c r="H590" s="4" t="n">
        <v>35</v>
      </c>
      <c r="I590" s="4" t="n">
        <v>154</v>
      </c>
      <c r="J590" s="4" t="n">
        <v>47</v>
      </c>
      <c r="K590" s="5" t="n">
        <v>0.7</v>
      </c>
      <c r="L590" s="4" t="n">
        <v>27</v>
      </c>
      <c r="M590" s="4" t="n">
        <v>8</v>
      </c>
      <c r="N590" s="5" t="n">
        <v>4.4</v>
      </c>
      <c r="O590" s="3" t="inlineStr">
        <is>
          <t>풀옵션, 단기가능, 입주 협의가능합니다.</t>
        </is>
      </c>
      <c r="P590" s="6">
        <f>HYPERLINK("https://fin.land.naver.com/articles/2651239100", "매물Link")</f>
        <v/>
      </c>
      <c r="Q590" s="6">
        <f>HYPERLINK("https://map.naver.com/p/search/연기면 연기리 415-5", "지도Link")</f>
        <v/>
      </c>
      <c r="R590" s="6">
        <f>HYPERLINK("http://www.eum.go.kr/web/ar/lu/luLandDet.jsp?pnu=3611031021104150005&amp;isNoScr=script&amp;mode=search", "토지이음")</f>
        <v/>
      </c>
      <c r="S590" s="3" t="inlineStr">
        <is>
          <t>세종토박이</t>
        </is>
      </c>
      <c r="T590" s="4" t="n">
        <v>1</v>
      </c>
      <c r="U590" s="5" t="n">
        <v>180.6</v>
      </c>
      <c r="V590" s="4" t="n">
        <v>314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다가구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0</v>
      </c>
      <c r="J591" s="4" t="n">
        <v>0</v>
      </c>
      <c r="K591" s="5" t="n">
        <v>0</v>
      </c>
      <c r="L591" s="4" t="n">
        <v>26</v>
      </c>
      <c r="M591" s="4" t="n">
        <v>8</v>
      </c>
      <c r="N591" s="5" t="n">
        <v>3.8</v>
      </c>
      <c r="O591" s="3" t="inlineStr">
        <is>
          <t>깨끗한 원룸,풀옵션</t>
        </is>
      </c>
      <c r="P591" s="6">
        <f>HYPERLINK("https://fin.land.naver.com/articles/2655065534",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세종대박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423-30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30</v>
      </c>
      <c r="I592" s="4" t="n">
        <v>23</v>
      </c>
      <c r="J592" s="4" t="n">
        <v>7</v>
      </c>
      <c r="K592" s="5" t="n">
        <v>4.3</v>
      </c>
      <c r="L592" s="4" t="n">
        <v>23</v>
      </c>
      <c r="M592" s="4" t="n">
        <v>7</v>
      </c>
      <c r="N592" s="5" t="n">
        <v>4.3</v>
      </c>
      <c r="O592" s="3" t="inlineStr">
        <is>
          <t>풀옵션, 깨끗한 방입니다.</t>
        </is>
      </c>
      <c r="P592" s="6">
        <f>HYPERLINK("https://fin.land.naver.com/articles/2651251240", "매물Link")</f>
        <v/>
      </c>
      <c r="Q592" s="6">
        <f>HYPERLINK("https://map.naver.com/p/search/연기면 연기리 423-30", "지도Link")</f>
        <v/>
      </c>
      <c r="R592" s="6">
        <f>HYPERLINK("http://www.eum.go.kr/web/ar/lu/luLandDet.jsp?pnu=3611031021104230030&amp;isNoScr=script&amp;mode=search", "토지이음")</f>
        <v/>
      </c>
      <c r="S592" s="3" t="inlineStr">
        <is>
          <t>세종토박이</t>
        </is>
      </c>
      <c r="T592" s="4" t="n">
        <v>1</v>
      </c>
      <c r="U592" s="5" t="n">
        <v>176.8</v>
      </c>
      <c r="V592" s="4" t="n">
        <v>301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425-8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72000</v>
      </c>
      <c r="H593" s="4" t="n">
        <v>0</v>
      </c>
      <c r="I593" s="4" t="n">
        <v>370</v>
      </c>
      <c r="J593" s="4" t="n">
        <v>112</v>
      </c>
      <c r="K593" s="5" t="n">
        <v>642.9</v>
      </c>
      <c r="L593" s="4" t="n">
        <v>86</v>
      </c>
      <c r="M593" s="4" t="n">
        <v>26</v>
      </c>
      <c r="N593" s="5" t="n">
        <v>2769.2</v>
      </c>
      <c r="O593" s="3" t="inlineStr">
        <is>
          <t>전세 있는 단독주택</t>
        </is>
      </c>
      <c r="P593" s="6">
        <f>HYPERLINK("https://fin.land.naver.com/articles/2650858533", "매물Link")</f>
        <v/>
      </c>
      <c r="Q593" s="6">
        <f>HYPERLINK("https://map.naver.com/p/search/연기면 연기리 425-8", "지도Link")</f>
        <v/>
      </c>
      <c r="R593" s="6">
        <f>HYPERLINK("http://www.eum.go.kr/web/ar/lu/luLandDet.jsp?pnu=3611031021104250008&amp;isNoScr=script&amp;mode=search",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196.4</v>
      </c>
      <c r="V593" s="4" t="n">
        <v>370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세로각지(가)</t>
        </is>
      </c>
    </row>
    <row r="594">
      <c r="A594" s="3" t="inlineStr">
        <is>
          <t>연기면 연기리 446-12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45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5</v>
      </c>
      <c r="O594" s="3" t="inlineStr">
        <is>
          <t>깨끗하고 넓은 1.5룸</t>
        </is>
      </c>
      <c r="P594" s="6">
        <f>HYPERLINK("https://fin.land.naver.com/articles/2655043860", "매물Link")</f>
        <v/>
      </c>
      <c r="Q594" s="6">
        <f>HYPERLINK("https://map.naver.com/p/search/연기면 연기리 446-12", "지도Link")</f>
        <v/>
      </c>
      <c r="R594" s="6">
        <f>HYPERLINK("http://www.eum.go.kr/web/ar/lu/luLandDet.jsp?pnu=3611031021104460012&amp;isNoScr=script&amp;mode=search",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375.2</v>
      </c>
      <c r="V594" s="4" t="n">
        <v>418</v>
      </c>
      <c r="W594" s="3" t="inlineStr">
        <is>
          <t>지정되지않음</t>
        </is>
      </c>
      <c r="X594" s="3" t="inlineStr">
        <is>
          <t>주상용</t>
        </is>
      </c>
      <c r="Y594" s="3" t="inlineStr">
        <is>
          <t>완경사</t>
        </is>
      </c>
      <c r="Z594" s="3" t="inlineStr">
        <is>
          <t>가로장방</t>
        </is>
      </c>
      <c r="AA594" s="3" t="inlineStr">
        <is>
          <t>중로한면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전세</t>
        </is>
      </c>
      <c r="G595" s="4" t="n">
        <v>3000</v>
      </c>
      <c r="H595" s="4" t="n">
        <v>0</v>
      </c>
      <c r="I595" s="4" t="n">
        <v>140</v>
      </c>
      <c r="J595" s="4" t="n">
        <v>42</v>
      </c>
      <c r="K595" s="5" t="n">
        <v>71.40000000000001</v>
      </c>
      <c r="L595" s="4" t="n">
        <v>23</v>
      </c>
      <c r="M595" s="4" t="n">
        <v>7</v>
      </c>
      <c r="N595" s="5" t="n">
        <v>428.6</v>
      </c>
      <c r="O595" s="3" t="inlineStr">
        <is>
          <t>nan</t>
        </is>
      </c>
      <c r="P595" s="6">
        <f>HYPERLINK("https://fin.land.naver.com/articles/2655890797",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140</v>
      </c>
      <c r="J596" s="4" t="n">
        <v>42</v>
      </c>
      <c r="K596" s="5" t="n">
        <v>0.7</v>
      </c>
      <c r="L596" s="4" t="n">
        <v>23</v>
      </c>
      <c r="M596" s="4" t="n">
        <v>7</v>
      </c>
      <c r="N596" s="5" t="n">
        <v>4.3</v>
      </c>
      <c r="O596" s="3" t="inlineStr">
        <is>
          <t>즉시입주,산울동차량5분정도,난방 도시가스 대중교통이용편리</t>
        </is>
      </c>
      <c r="P596" s="6">
        <f>HYPERLINK("https://fin.land.naver.com/articles/2655900528",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60</v>
      </c>
      <c r="I597" s="4" t="n">
        <v>140</v>
      </c>
      <c r="J597" s="4" t="n">
        <v>42</v>
      </c>
      <c r="K597" s="5" t="n">
        <v>1.4</v>
      </c>
      <c r="L597" s="4" t="n">
        <v>49</v>
      </c>
      <c r="M597" s="4" t="n">
        <v>15</v>
      </c>
      <c r="N597" s="5" t="n">
        <v>4</v>
      </c>
      <c r="O597" s="3" t="inlineStr">
        <is>
          <t>11.3일이후 방2개,거실,화1, 산울동차량3분,도시가스,상권이용편리</t>
        </is>
      </c>
      <c r="P597" s="6">
        <f>HYPERLINK("https://fin.land.naver.com/articles/2655897356",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446-7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300</v>
      </c>
      <c r="H598" s="4" t="n">
        <v>65</v>
      </c>
      <c r="I598" s="4" t="n">
        <v>140</v>
      </c>
      <c r="J598" s="4" t="n">
        <v>42</v>
      </c>
      <c r="K598" s="5" t="n">
        <v>7.1</v>
      </c>
      <c r="L598" s="4" t="n">
        <v>49</v>
      </c>
      <c r="M598" s="4" t="n">
        <v>15</v>
      </c>
      <c r="N598" s="5" t="n">
        <v>20</v>
      </c>
      <c r="O598" s="3" t="inlineStr">
        <is>
          <t>11.3일이후 방2개,거실,화1, 산울동차량3분,도시가스,상권이용편리</t>
        </is>
      </c>
      <c r="P598" s="6">
        <f>HYPERLINK("https://fin.land.naver.com/articles/2655897934", "매물Link")</f>
        <v/>
      </c>
      <c r="Q598" s="6">
        <f>HYPERLINK("https://map.naver.com/p/search/연기면 연기리 446-7", "지도Link")</f>
        <v/>
      </c>
      <c r="R598" s="6">
        <f>HYPERLINK("http://www.eum.go.kr/web/ar/lu/luLandDet.jsp?pnu=3611031021104460007&amp;isNoScr=script&amp;mode=search",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187.7</v>
      </c>
      <c r="V598" s="4" t="n">
        <v>292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HYPERLINK("https://fin.land.naver.com/articles/2652223313",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1000</v>
      </c>
      <c r="H600" s="4" t="n">
        <v>20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2.9</v>
      </c>
      <c r="O600" s="3" t="inlineStr">
        <is>
          <t>nan</t>
        </is>
      </c>
      <c r="P600" s="6">
        <f>HYPERLINK("https://fin.land.naver.com/articles/2655163775",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신동서남북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월세</t>
        </is>
      </c>
      <c r="G602" s="4" t="n">
        <v>1000</v>
      </c>
      <c r="H602" s="4" t="n">
        <v>20</v>
      </c>
      <c r="I602" s="4" t="n">
        <v>138</v>
      </c>
      <c r="J602" s="4" t="n">
        <v>42</v>
      </c>
      <c r="K602" s="5" t="n">
        <v>0.5</v>
      </c>
      <c r="L602" s="4" t="n">
        <v>23</v>
      </c>
      <c r="M602" s="4" t="n">
        <v>7</v>
      </c>
      <c r="N602" s="5" t="n">
        <v>2.9</v>
      </c>
      <c r="O602" s="3" t="inlineStr">
        <is>
          <t>nan</t>
        </is>
      </c>
      <c r="P602" s="6">
        <f>HYPERLINK("https://fin.land.naver.com/articles/2656169989",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nan</t>
        </is>
      </c>
      <c r="P603" s="6">
        <f>HYPERLINK("https://fin.land.naver.com/articles/2652079727",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800</v>
      </c>
      <c r="H604" s="4" t="n">
        <v>22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3.1</v>
      </c>
      <c r="O604" s="3" t="inlineStr">
        <is>
          <t>nan</t>
        </is>
      </c>
      <c r="P604" s="6">
        <f>HYPERLINK("https://fin.land.naver.com/articles/2656169961",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다가구</t>
        </is>
      </c>
      <c r="F605" s="3" t="inlineStr">
        <is>
          <t>전세</t>
        </is>
      </c>
      <c r="G605" s="4" t="n">
        <v>3000</v>
      </c>
      <c r="H605" s="4" t="n">
        <v>0</v>
      </c>
      <c r="I605" s="4" t="n">
        <v>138</v>
      </c>
      <c r="J605" s="4" t="n">
        <v>42</v>
      </c>
      <c r="K605" s="5" t="n">
        <v>71.40000000000001</v>
      </c>
      <c r="L605" s="4" t="n">
        <v>23</v>
      </c>
      <c r="M605" s="4" t="n">
        <v>7</v>
      </c>
      <c r="N605" s="5" t="n">
        <v>428.6</v>
      </c>
      <c r="O605" s="3" t="inlineStr">
        <is>
          <t>즉시, 5일여유,햇빛우수 ,대중교통이용,주변상권이용 편리합니다.</t>
        </is>
      </c>
      <c r="P605" s="6">
        <f>HYPERLINK("https://fin.land.naver.com/articles/2655337753",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2000</v>
      </c>
      <c r="H606" s="4" t="n">
        <v>10</v>
      </c>
      <c r="I606" s="4" t="n">
        <v>138</v>
      </c>
      <c r="J606" s="4" t="n">
        <v>42</v>
      </c>
      <c r="K606" s="5" t="n">
        <v>0.2</v>
      </c>
      <c r="L606" s="4" t="n">
        <v>23</v>
      </c>
      <c r="M606" s="4" t="n">
        <v>7</v>
      </c>
      <c r="N606" s="5" t="n">
        <v>1.4</v>
      </c>
      <c r="O606" s="3" t="inlineStr">
        <is>
          <t>nan</t>
        </is>
      </c>
      <c r="P606" s="6">
        <f>HYPERLINK("https://fin.land.naver.com/articles/2652738262",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2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1000</v>
      </c>
      <c r="H607" s="4" t="n">
        <v>20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2.9</v>
      </c>
      <c r="O607" s="3" t="inlineStr">
        <is>
          <t>nan</t>
        </is>
      </c>
      <c r="P607" s="6">
        <f>HYPERLINK("https://fin.land.naver.com/articles/2655329663",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2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800</v>
      </c>
      <c r="H609" s="4" t="n">
        <v>22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3.1</v>
      </c>
      <c r="O609" s="3" t="inlineStr">
        <is>
          <t>즉시, 5일여유,햇빛우수 ,대중교통이용,주변상권이용 편리합니다.</t>
        </is>
      </c>
      <c r="P609" s="6">
        <f>HYPERLINK("https://fin.land.naver.com/articles/2655784213",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일반원룸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nan</t>
        </is>
      </c>
      <c r="P610" s="6">
        <f>HYPERLINK("https://fin.land.naver.com/articles/2651495175",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4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1000</v>
      </c>
      <c r="H612" s="4" t="n">
        <v>20</v>
      </c>
      <c r="I612" s="4" t="n">
        <v>138</v>
      </c>
      <c r="J612" s="4" t="n">
        <v>42</v>
      </c>
      <c r="K612" s="5" t="n">
        <v>0.5</v>
      </c>
      <c r="L612" s="4" t="n">
        <v>23</v>
      </c>
      <c r="M612" s="4" t="n">
        <v>7</v>
      </c>
      <c r="N612" s="5" t="n">
        <v>2.9</v>
      </c>
      <c r="O612" s="3" t="inlineStr">
        <is>
          <t>nan</t>
        </is>
      </c>
      <c r="P612" s="6">
        <f>HYPERLINK("https://fin.land.naver.com/articles/2652253841",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2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전세</t>
        </is>
      </c>
      <c r="G613" s="4" t="n">
        <v>2500</v>
      </c>
      <c r="H613" s="4" t="n">
        <v>0</v>
      </c>
      <c r="I613" s="4" t="n">
        <v>138</v>
      </c>
      <c r="J613" s="4" t="n">
        <v>42</v>
      </c>
      <c r="K613" s="5" t="n">
        <v>59.5</v>
      </c>
      <c r="L613" s="4" t="n">
        <v>23</v>
      </c>
      <c r="M613" s="4" t="n">
        <v>7</v>
      </c>
      <c r="N613" s="5" t="n">
        <v>357.1</v>
      </c>
      <c r="O613" s="3" t="inlineStr">
        <is>
          <t>nan</t>
        </is>
      </c>
      <c r="P613" s="6">
        <f>HYPERLINK("https://fin.land.naver.com/articles/2655783505",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448-3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다가구</t>
        </is>
      </c>
      <c r="F614" s="3" t="inlineStr">
        <is>
          <t>전세</t>
        </is>
      </c>
      <c r="G614" s="4" t="n">
        <v>3000</v>
      </c>
      <c r="H614" s="4" t="n">
        <v>0</v>
      </c>
      <c r="I614" s="4" t="n">
        <v>138</v>
      </c>
      <c r="J614" s="4" t="n">
        <v>42</v>
      </c>
      <c r="K614" s="5" t="n">
        <v>71.40000000000001</v>
      </c>
      <c r="L614" s="4" t="n">
        <v>23</v>
      </c>
      <c r="M614" s="4" t="n">
        <v>7</v>
      </c>
      <c r="N614" s="5" t="n">
        <v>428.6</v>
      </c>
      <c r="O614" s="3" t="inlineStr">
        <is>
          <t>즉시, 5일여유,햇빛우수 ,대중교통이용,주변상권이용 편리합니다.</t>
        </is>
      </c>
      <c r="P614" s="6">
        <f>HYPERLINK("https://fin.land.naver.com/articles/2656169968", "매물Link")</f>
        <v/>
      </c>
      <c r="Q614" s="6">
        <f>HYPERLINK("https://map.naver.com/p/search/연기면 연기리 448-3", "지도Link")</f>
        <v/>
      </c>
      <c r="R614" s="6">
        <f>HYPERLINK("http://www.eum.go.kr/web/ar/lu/luLandDet.jsp?pnu=3611031021104480003&amp;isNoScr=script&amp;mode=search",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181.2</v>
      </c>
      <c r="V614" s="4" t="n">
        <v>290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자루형</t>
        </is>
      </c>
      <c r="AA614" s="3" t="inlineStr">
        <is>
          <t>세로한면(가)</t>
        </is>
      </c>
    </row>
    <row r="615">
      <c r="A615" s="3" t="inlineStr">
        <is>
          <t>연기면 연기리 448-6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40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4.4</v>
      </c>
      <c r="O615" s="3" t="inlineStr">
        <is>
          <t>연기면 연기리  투베이   1.5룸  생활하기 편한 곳</t>
        </is>
      </c>
      <c r="P615" s="6">
        <f>HYPERLINK("https://fin.land.naver.com/articles/2651375626", "매물Link")</f>
        <v/>
      </c>
      <c r="Q615" s="6">
        <f>HYPERLINK("https://map.naver.com/p/search/연기면 연기리 448-6", "지도Link")</f>
        <v/>
      </c>
      <c r="R615" s="6">
        <f>HYPERLINK("http://www.eum.go.kr/web/ar/lu/luLandDet.jsp?pnu=3611031021104480006&amp;isNoScr=script&amp;mode=search",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190.7</v>
      </c>
      <c r="V615" s="4" t="n">
        <v>289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60</v>
      </c>
      <c r="I616" s="4" t="n">
        <v>0</v>
      </c>
      <c r="J616" s="4" t="n">
        <v>0</v>
      </c>
      <c r="K616" s="5" t="n">
        <v>0</v>
      </c>
      <c r="L616" s="4" t="n">
        <v>45</v>
      </c>
      <c r="M616" s="4" t="n">
        <v>14</v>
      </c>
      <c r="N616" s="5" t="n">
        <v>4.3</v>
      </c>
      <c r="O616" s="3" t="inlineStr">
        <is>
          <t>도로변에 인접 투룸 임대</t>
        </is>
      </c>
      <c r="P616" s="6">
        <f>HYPERLINK("https://fin.land.naver.com/articles/2655032789",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466-18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55</v>
      </c>
      <c r="I617" s="4" t="n">
        <v>452</v>
      </c>
      <c r="J617" s="4" t="n">
        <v>137</v>
      </c>
      <c r="K617" s="5" t="n">
        <v>0.4</v>
      </c>
      <c r="L617" s="4" t="n">
        <v>35</v>
      </c>
      <c r="M617" s="4" t="n">
        <v>11</v>
      </c>
      <c r="N617" s="5" t="n">
        <v>5</v>
      </c>
      <c r="O617" s="3" t="inlineStr">
        <is>
          <t>세종시 연기면 투룸,1.5룸 임대.주인세대 임대</t>
        </is>
      </c>
      <c r="P617" s="6">
        <f>HYPERLINK("https://fin.land.naver.com/articles/2650991737", "매물Link")</f>
        <v/>
      </c>
      <c r="Q617" s="6">
        <f>HYPERLINK("https://map.naver.com/p/search/연기면 연기리 466-18", "지도Link")</f>
        <v/>
      </c>
      <c r="R617" s="6">
        <f>HYPERLINK("http://www.eum.go.kr/web/ar/lu/luLandDet.jsp?pnu=3611031021104660018&amp;isNoScr=script&amp;mode=search", "토지이음")</f>
        <v/>
      </c>
      <c r="S617" s="3" t="inlineStr">
        <is>
          <t>동원</t>
        </is>
      </c>
      <c r="T617" s="4" t="n">
        <v>1</v>
      </c>
      <c r="U617" s="5" t="n">
        <v>168.9</v>
      </c>
      <c r="V617" s="4" t="n">
        <v>317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세로한면(불)</t>
        </is>
      </c>
    </row>
    <row r="618">
      <c r="A618" s="3" t="inlineStr">
        <is>
          <t>연기면 연기리 466-19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48</v>
      </c>
      <c r="I618" s="4" t="n">
        <v>0</v>
      </c>
      <c r="J618" s="4" t="n">
        <v>0</v>
      </c>
      <c r="K618" s="5" t="n">
        <v>0</v>
      </c>
      <c r="L618" s="4" t="n">
        <v>32</v>
      </c>
      <c r="M618" s="4" t="n">
        <v>10</v>
      </c>
      <c r="N618" s="5" t="n">
        <v>4.8</v>
      </c>
      <c r="O618" s="3" t="inlineStr">
        <is>
          <t>세종시 연기면  투베이 1.5룸</t>
        </is>
      </c>
      <c r="P618" s="6">
        <f>HYPERLINK("https://fin.land.naver.com/articles/2653257244", "매물Link")</f>
        <v/>
      </c>
      <c r="Q618" s="6">
        <f>HYPERLINK("https://map.naver.com/p/search/연기면 연기리 466-19", "지도Link")</f>
        <v/>
      </c>
      <c r="R618" s="6">
        <f>HYPERLINK("http://www.eum.go.kr/web/ar/lu/luLandDet.jsp?pnu=3611031021104660019&amp;isNoScr=script&amp;mode=search", "토지이음")</f>
        <v/>
      </c>
      <c r="S618" s="3" t="inlineStr">
        <is>
          <t>금강</t>
        </is>
      </c>
      <c r="T618" s="4" t="n">
        <v>1</v>
      </c>
      <c r="U618" s="5" t="n">
        <v>160.4</v>
      </c>
      <c r="V618" s="4" t="n">
        <v>309</v>
      </c>
      <c r="W618" s="3" t="inlineStr">
        <is>
          <t>지정되지않음</t>
        </is>
      </c>
      <c r="X618" s="3" t="inlineStr">
        <is>
          <t>다세대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세로한면(불)</t>
        </is>
      </c>
    </row>
    <row r="619">
      <c r="A619" s="3" t="inlineStr">
        <is>
          <t>연기면 연기리 597-5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상가주택</t>
        </is>
      </c>
      <c r="F619" s="3" t="inlineStr">
        <is>
          <t>매매</t>
        </is>
      </c>
      <c r="G619" s="4" t="n">
        <v>120000</v>
      </c>
      <c r="H619" s="4" t="n">
        <v>0</v>
      </c>
      <c r="I619" s="4" t="n">
        <v>631</v>
      </c>
      <c r="J619" s="4" t="n">
        <v>191</v>
      </c>
      <c r="K619" s="5" t="n">
        <v>628.3</v>
      </c>
      <c r="L619" s="4" t="n">
        <v>356</v>
      </c>
      <c r="M619" s="4" t="n">
        <v>108</v>
      </c>
      <c r="N619" s="5" t="n">
        <v>1111.1</v>
      </c>
      <c r="O619" s="3" t="inlineStr">
        <is>
          <t>광고최상 1층상가 2층주택 방4개 사무실 공방 카페추천 8M소방도로예정</t>
        </is>
      </c>
      <c r="P619" s="6">
        <f>HYPERLINK("https://fin.land.naver.com/articles/2654857650", "매물Link")</f>
        <v/>
      </c>
      <c r="Q619" s="6">
        <f>HYPERLINK("https://map.naver.com/p/search/연기면 연기리 597-5", "지도Link")</f>
        <v/>
      </c>
      <c r="R619" s="6">
        <f>HYPERLINK("http://www.eum.go.kr/web/ar/lu/luLandDet.jsp?pnu=3611031021105970005&amp;isNoScr=script&amp;mode=search",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182</v>
      </c>
      <c r="V619" s="4" t="n">
        <v>451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연기면 연기리 599-9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40000</v>
      </c>
      <c r="H620" s="4" t="n">
        <v>0</v>
      </c>
      <c r="I620" s="4" t="n">
        <v>340</v>
      </c>
      <c r="J620" s="4" t="n">
        <v>103</v>
      </c>
      <c r="K620" s="5" t="n">
        <v>388.3</v>
      </c>
      <c r="L620" s="4" t="n">
        <v>115</v>
      </c>
      <c r="M620" s="4" t="n">
        <v>35</v>
      </c>
      <c r="N620" s="5" t="n">
        <v>1142.9</v>
      </c>
      <c r="O620" s="3" t="inlineStr">
        <is>
          <t>구옥 공방 소형카페 작업실 8M소방도로예정</t>
        </is>
      </c>
      <c r="P620" s="6">
        <f>HYPERLINK("https://fin.land.naver.com/articles/2654857763", "매물Link")</f>
        <v/>
      </c>
      <c r="Q620" s="6">
        <f>HYPERLINK("https://map.naver.com/p/search/연기면 연기리 599-9", "지도Link")</f>
        <v/>
      </c>
      <c r="R620" s="6">
        <f>HYPERLINK("http://www.eum.go.kr/web/ar/lu/luLandDet.jsp?pnu=3611031021105990009&amp;isNoScr=script&amp;mode=search", "토지이음")</f>
        <v/>
      </c>
      <c r="S620" s="3" t="inlineStr">
        <is>
          <t>세종스타</t>
        </is>
      </c>
      <c r="T620" s="4" t="n">
        <v>1</v>
      </c>
      <c r="U620" s="5" t="n">
        <v>187.8</v>
      </c>
      <c r="V620" s="4" t="n">
        <v>179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6-14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35000</v>
      </c>
      <c r="H621" s="4" t="n">
        <v>0</v>
      </c>
      <c r="I621" s="4" t="n">
        <v>266</v>
      </c>
      <c r="J621" s="4" t="n">
        <v>80</v>
      </c>
      <c r="K621" s="5" t="n">
        <v>437.5</v>
      </c>
      <c r="L621" s="4" t="n">
        <v>68</v>
      </c>
      <c r="M621" s="4" t="n">
        <v>21</v>
      </c>
      <c r="N621" s="5" t="n">
        <v>1666.7</v>
      </c>
      <c r="O621" s="3" t="inlineStr">
        <is>
          <t>저렴한 단독주택 매매</t>
        </is>
      </c>
      <c r="P621" s="6">
        <f>HYPERLINK("https://fin.land.naver.com/articles/2655032772", "매물Link")</f>
        <v/>
      </c>
      <c r="Q621" s="6">
        <f>HYPERLINK("https://map.naver.com/p/search/연기면 연기리 6-14", "지도Link")</f>
        <v/>
      </c>
      <c r="R621" s="6">
        <f>HYPERLINK("http://www.eum.go.kr/web/ar/lu/luLandDet.jsp?pnu=3611031021100060014&amp;isNoScr=script&amp;mode=search",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175.7</v>
      </c>
      <c r="V621" s="4" t="n">
        <v>266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55000</v>
      </c>
      <c r="H625" s="4" t="n">
        <v>0</v>
      </c>
      <c r="I625" s="4" t="n">
        <v>1230</v>
      </c>
      <c r="J625" s="4" t="n">
        <v>372</v>
      </c>
      <c r="K625" s="5" t="n">
        <v>147.8</v>
      </c>
      <c r="L625" s="4" t="n">
        <v>79</v>
      </c>
      <c r="M625" s="4" t="n">
        <v>24</v>
      </c>
      <c r="N625" s="5" t="n">
        <v>2291.7</v>
      </c>
      <c r="O625" s="3" t="inlineStr">
        <is>
          <t>nan</t>
        </is>
      </c>
      <c r="P625" s="6">
        <f>HYPERLINK("https://fin.land.naver.com/articles/2651986983",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오송퍼스트영웅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45000</v>
      </c>
      <c r="H626" s="4" t="n">
        <v>0</v>
      </c>
      <c r="I626" s="4" t="n">
        <v>656</v>
      </c>
      <c r="J626" s="4" t="n">
        <v>198</v>
      </c>
      <c r="K626" s="5" t="n">
        <v>227.3</v>
      </c>
      <c r="L626" s="4" t="n">
        <v>79</v>
      </c>
      <c r="M626" s="4" t="n">
        <v>24</v>
      </c>
      <c r="N626" s="5" t="n">
        <v>1875</v>
      </c>
      <c r="O626" s="3" t="inlineStr">
        <is>
          <t>예양교차로인근에 위치  교통편리 버스정류장도 바로앞에 있습니다</t>
        </is>
      </c>
      <c r="P626" s="6">
        <f>HYPERLINK("https://fin.land.naver.com/articles/2653055468",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시드니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28000</v>
      </c>
      <c r="H628" s="4" t="n">
        <v>0</v>
      </c>
      <c r="I628" s="4" t="n">
        <v>480</v>
      </c>
      <c r="J628" s="4" t="n">
        <v>145</v>
      </c>
      <c r="K628" s="5" t="n">
        <v>193.1</v>
      </c>
      <c r="L628" s="4" t="n">
        <v>168</v>
      </c>
      <c r="M628" s="4" t="n">
        <v>51</v>
      </c>
      <c r="N628" s="5" t="n">
        <v>549</v>
      </c>
      <c r="O628" s="3" t="inlineStr">
        <is>
          <t>즉시입주.넓은 마당과 텃밭.저렴매매.전원주택의 여유를 느껴보세요.</t>
        </is>
      </c>
      <c r="P628" s="6">
        <f>HYPERLINK("https://fin.land.naver.com/articles/2651510028",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수자인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25000</v>
      </c>
      <c r="H629" s="4" t="n">
        <v>0</v>
      </c>
      <c r="I629" s="4" t="n">
        <v>480</v>
      </c>
      <c r="J629" s="4" t="n">
        <v>145</v>
      </c>
      <c r="K629" s="5" t="n">
        <v>172.4</v>
      </c>
      <c r="L629" s="4" t="n">
        <v>168</v>
      </c>
      <c r="M629" s="4" t="n">
        <v>51</v>
      </c>
      <c r="N629" s="5" t="n">
        <v>490.2</v>
      </c>
      <c r="O629" s="3" t="inlineStr">
        <is>
          <t>nan</t>
        </is>
      </c>
      <c r="P629" s="6">
        <f>HYPERLINK("https://fin.land.naver.com/articles/2652759291",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효자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바로입주  주차편함 해밀동 5분</t>
        </is>
      </c>
      <c r="P645" s="6">
        <f>HYPERLINK("https://fin.land.naver.com/articles/2656262867",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234-38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전세</t>
        </is>
      </c>
      <c r="G646" s="4" t="n">
        <v>10000</v>
      </c>
      <c r="H646" s="4" t="n">
        <v>0</v>
      </c>
      <c r="I646" s="4" t="n">
        <v>148</v>
      </c>
      <c r="J646" s="4" t="n">
        <v>45</v>
      </c>
      <c r="K646" s="5" t="n">
        <v>222.2</v>
      </c>
      <c r="L646" s="4" t="n">
        <v>132</v>
      </c>
      <c r="M646" s="4" t="n">
        <v>40</v>
      </c>
      <c r="N646" s="5" t="n">
        <v>250</v>
      </c>
      <c r="O646" s="3" t="inlineStr">
        <is>
          <t>nan</t>
        </is>
      </c>
      <c r="P646" s="6">
        <f>HYPERLINK("https://fin.land.naver.com/articles/2656288093", "매물Link")</f>
        <v/>
      </c>
      <c r="Q646" s="6">
        <f>HYPERLINK("https://map.naver.com/p/search/연서면 봉암리 234-38", "지도Link")</f>
        <v/>
      </c>
      <c r="R646" s="6">
        <f>HYPERLINK("http://www.eum.go.kr/web/ar/lu/luLandDet.jsp?pnu=3611036033102340038&amp;isNoScr=script&amp;mode=search",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172.4</v>
      </c>
      <c r="V646" s="4" t="n">
        <v>373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가로장방</t>
        </is>
      </c>
      <c r="AA646" s="3" t="inlineStr">
        <is>
          <t>세로한면(가)</t>
        </is>
      </c>
    </row>
    <row r="647">
      <c r="A647" s="3" t="inlineStr">
        <is>
          <t>연서면 봉암리 234-41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35</v>
      </c>
      <c r="I647" s="4" t="n">
        <v>0</v>
      </c>
      <c r="J647" s="4" t="n">
        <v>0</v>
      </c>
      <c r="K647" s="5" t="n">
        <v>0</v>
      </c>
      <c r="L647" s="4" t="n">
        <v>25</v>
      </c>
      <c r="M647" s="4" t="n">
        <v>8</v>
      </c>
      <c r="N647" s="5" t="n">
        <v>4.4</v>
      </c>
      <c r="O647" s="3" t="inlineStr">
        <is>
          <t>인기좋은  풀옵션완비방  깔끔한 주방분리  버스정류장인접  해밀동5분</t>
        </is>
      </c>
      <c r="P647" s="6">
        <f>HYPERLINK("https://fin.land.naver.com/articles/2656242661", "매물Link")</f>
        <v/>
      </c>
      <c r="Q647" s="6">
        <f>HYPERLINK("https://map.naver.com/p/search/연서면 봉암리 234-41", "지도Link")</f>
        <v/>
      </c>
      <c r="R647" s="6">
        <f>HYPERLINK("http://www.eum.go.kr/web/ar/lu/luLandDet.jsp?pnu=3611036033102340041&amp;isNoScr=script&amp;mode=search",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172.4</v>
      </c>
      <c r="V647" s="4" t="n">
        <v>356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427-3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33000</v>
      </c>
      <c r="H648" s="4" t="n">
        <v>0</v>
      </c>
      <c r="I648" s="4" t="n">
        <v>420</v>
      </c>
      <c r="J648" s="4" t="n">
        <v>127</v>
      </c>
      <c r="K648" s="5" t="n">
        <v>259.8</v>
      </c>
      <c r="L648" s="4" t="n">
        <v>82</v>
      </c>
      <c r="M648" s="4" t="n">
        <v>25</v>
      </c>
      <c r="N648" s="5" t="n">
        <v>1320</v>
      </c>
      <c r="O648" s="3" t="inlineStr">
        <is>
          <t>계획관리 대지,세종시 단독주택,수도,전기,보일러,6생활권,1번국도 등.</t>
        </is>
      </c>
      <c r="P648" s="6">
        <f>HYPERLINK("https://fin.land.naver.com/articles/2654229309", "매물Link")</f>
        <v/>
      </c>
      <c r="Q648" s="6">
        <f>HYPERLINK("https://map.naver.com/p/search/연서면 봉암리 427-3", "지도Link")</f>
        <v/>
      </c>
      <c r="R648" s="6">
        <f>HYPERLINK("http://www.eum.go.kr/web/ar/lu/luLandDet.jsp?pnu=3611036033104270003&amp;isNoScr=script&amp;mode=search", "토지이음")</f>
        <v/>
      </c>
      <c r="S648" s="3" t="inlineStr">
        <is>
          <t>열린자이</t>
        </is>
      </c>
      <c r="T648" s="4" t="n">
        <v>1</v>
      </c>
      <c r="U648" s="5" t="n">
        <v>134</v>
      </c>
      <c r="V648" s="4" t="n">
        <v>343.4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54-45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18500</v>
      </c>
      <c r="H649" s="4" t="n">
        <v>0</v>
      </c>
      <c r="I649" s="4" t="n">
        <v>175</v>
      </c>
      <c r="J649" s="4" t="n">
        <v>53</v>
      </c>
      <c r="K649" s="5" t="n">
        <v>349.1</v>
      </c>
      <c r="L649" s="4" t="n">
        <v>67</v>
      </c>
      <c r="M649" s="4" t="n">
        <v>20</v>
      </c>
      <c r="N649" s="5" t="n">
        <v>925</v>
      </c>
      <c r="O649" s="3" t="inlineStr">
        <is>
          <t>nan</t>
        </is>
      </c>
      <c r="P649" s="6">
        <f>HYPERLINK("https://fin.land.naver.com/articles/2653949069", "매물Link")</f>
        <v/>
      </c>
      <c r="Q649" s="6">
        <f>HYPERLINK("https://map.naver.com/p/search/연서면 봉암리 54-45", "지도Link")</f>
        <v/>
      </c>
      <c r="R649" s="6">
        <f>HYPERLINK("http://www.eum.go.kr/web/ar/lu/luLandDet.jsp?pnu=3611036033100540045&amp;isNoScr=script&amp;mode=search", "토지이음")</f>
        <v/>
      </c>
      <c r="S649" s="3" t="inlineStr">
        <is>
          <t>KB세종</t>
        </is>
      </c>
      <c r="T649" s="4" t="n">
        <v>1</v>
      </c>
      <c r="U649" s="5" t="n">
        <v>116.1</v>
      </c>
      <c r="V649" s="4" t="n">
        <v>175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세로한면(불)</t>
        </is>
      </c>
    </row>
    <row r="650">
      <c r="A650" s="3" t="inlineStr">
        <is>
          <t>연서면 봉암리 54-80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32</v>
      </c>
      <c r="I650" s="4" t="n">
        <v>0</v>
      </c>
      <c r="J650" s="4" t="n">
        <v>0</v>
      </c>
      <c r="K650" s="5" t="n">
        <v>0</v>
      </c>
      <c r="L650" s="4" t="n">
        <v>24</v>
      </c>
      <c r="M650" s="4" t="n">
        <v>7</v>
      </c>
      <c r="N650" s="5" t="n">
        <v>4.6</v>
      </c>
      <c r="O650" s="3" t="inlineStr">
        <is>
          <t>인기좋은  풀옵션완비방   깔끔한 주거공간   바로입주  주차편함</t>
        </is>
      </c>
      <c r="P650" s="6">
        <f>HYPERLINK("https://fin.land.naver.com/articles/2655091903", "매물Link")</f>
        <v/>
      </c>
      <c r="Q650" s="6">
        <f>HYPERLINK("https://map.naver.com/p/search/연서면 봉암리 54-80", "지도Link")</f>
        <v/>
      </c>
      <c r="R650" s="6">
        <f>HYPERLINK("http://www.eum.go.kr/web/ar/lu/luLandDet.jsp?pnu=3611036033100540080&amp;isNoScr=script&amp;mode=search", "토지이음")</f>
        <v/>
      </c>
      <c r="S650" s="3" t="inlineStr">
        <is>
          <t>연서으뜸</t>
        </is>
      </c>
      <c r="T650" s="4" t="n">
        <v>1</v>
      </c>
      <c r="U650" s="5" t="n">
        <v>196.8</v>
      </c>
      <c r="V650" s="4" t="n">
        <v>336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54-89</t>
        </is>
      </c>
      <c r="B652" s="3" t="inlineStr">
        <is>
          <t>계획관리지역</t>
        </is>
      </c>
      <c r="C652" s="3" t="inlineStr">
        <is>
          <t>임야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100000</v>
      </c>
      <c r="H652" s="4" t="n">
        <v>0</v>
      </c>
      <c r="I652" s="4" t="n">
        <v>360</v>
      </c>
      <c r="J652" s="4" t="n">
        <v>109</v>
      </c>
      <c r="K652" s="5" t="n">
        <v>917.4</v>
      </c>
      <c r="L652" s="4" t="n">
        <v>490</v>
      </c>
      <c r="M652" s="4" t="n">
        <v>148</v>
      </c>
      <c r="N652" s="5" t="n">
        <v>675.7</v>
      </c>
      <c r="O652" s="3" t="inlineStr">
        <is>
          <t>nan</t>
        </is>
      </c>
      <c r="P652" s="6">
        <f>HYPERLINK("https://fin.land.naver.com/articles/2652499431", "매물Link")</f>
        <v/>
      </c>
      <c r="Q652" s="6">
        <f>HYPERLINK("https://map.naver.com/p/search/연서면 봉암리 54-89", "지도Link")</f>
        <v/>
      </c>
      <c r="R652" s="6">
        <f>HYPERLINK("http://www.eum.go.kr/web/ar/lu/luLandDet.jsp?pnu=3611036033100540089&amp;isNoScr=script&amp;mode=search",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196.8</v>
      </c>
      <c r="V652" s="4" t="n">
        <v>360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봉암리 557-2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30000</v>
      </c>
      <c r="H653" s="4" t="n">
        <v>0</v>
      </c>
      <c r="I653" s="4" t="n">
        <v>244</v>
      </c>
      <c r="J653" s="4" t="n">
        <v>74</v>
      </c>
      <c r="K653" s="5" t="n">
        <v>405.4</v>
      </c>
      <c r="L653" s="4" t="n">
        <v>84</v>
      </c>
      <c r="M653" s="4" t="n">
        <v>25</v>
      </c>
      <c r="N653" s="5" t="n">
        <v>1200</v>
      </c>
      <c r="O653" s="3" t="inlineStr">
        <is>
          <t>세종시 중심지역 스마산단 등 입주시 급부상 지역</t>
        </is>
      </c>
      <c r="P653" s="6">
        <f>HYPERLINK("https://fin.land.naver.com/articles/2653340050", "매물Link")</f>
        <v/>
      </c>
      <c r="Q653" s="6">
        <f>HYPERLINK("https://map.naver.com/p/search/연서면 봉암리 557-2", "지도Link")</f>
        <v/>
      </c>
      <c r="R653" s="6">
        <f>HYPERLINK("http://www.eum.go.kr/web/ar/lu/luLandDet.jsp?pnu=3611036033105570002&amp;isNoScr=script&amp;mode=search", "토지이음")</f>
        <v/>
      </c>
      <c r="S653" s="3" t="inlineStr">
        <is>
          <t>상상</t>
        </is>
      </c>
      <c r="T653" s="4" t="n">
        <v>1</v>
      </c>
      <c r="U653" s="5" t="n">
        <v>199.6</v>
      </c>
      <c r="V653" s="4" t="n">
        <v>244.3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정방형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nan</t>
        </is>
      </c>
      <c r="P654" s="6">
        <f>HYPERLINK("https://fin.land.naver.com/articles/2654181426",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nan</t>
        </is>
      </c>
      <c r="P655" s="6">
        <f>HYPERLINK("https://fin.land.naver.com/articles/2654182716",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일반원룸</t>
        </is>
      </c>
      <c r="F656" s="3" t="inlineStr">
        <is>
          <t>단기임대</t>
        </is>
      </c>
      <c r="G656" s="4" t="n">
        <v>200</v>
      </c>
      <c r="H656" s="4" t="n">
        <v>50</v>
      </c>
      <c r="I656" s="4" t="n">
        <v>139</v>
      </c>
      <c r="J656" s="4" t="n">
        <v>42</v>
      </c>
      <c r="K656" s="5" t="n">
        <v>4.8</v>
      </c>
      <c r="L656" s="4" t="n">
        <v>39</v>
      </c>
      <c r="M656" s="4" t="n">
        <v>12</v>
      </c>
      <c r="N656" s="5" t="n">
        <v>16.7</v>
      </c>
      <c r="O656" s="3" t="inlineStr">
        <is>
          <t>즉시,방1개 거실별도, 3달6달은 50만원 ,도시가스,도배중입니다.</t>
        </is>
      </c>
      <c r="P656" s="6">
        <f>HYPERLINK("https://fin.land.naver.com/articles/2654189890",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58-3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45</v>
      </c>
      <c r="I657" s="4" t="n">
        <v>139</v>
      </c>
      <c r="J657" s="4" t="n">
        <v>42</v>
      </c>
      <c r="K657" s="5" t="n">
        <v>1.1</v>
      </c>
      <c r="L657" s="4" t="n">
        <v>39</v>
      </c>
      <c r="M657" s="4" t="n">
        <v>12</v>
      </c>
      <c r="N657" s="5" t="n">
        <v>3.8</v>
      </c>
      <c r="O657" s="3" t="inlineStr">
        <is>
          <t>즉시,방1개 거실별도, 3달6달은 50만원 ,도시가스,도배중입니다.</t>
        </is>
      </c>
      <c r="P657" s="6">
        <f>HYPERLINK("https://fin.land.naver.com/articles/2654188593", "매물Link")</f>
        <v/>
      </c>
      <c r="Q657" s="6">
        <f>HYPERLINK("https://map.naver.com/p/search/연서면 봉암리 58-3", "지도Link")</f>
        <v/>
      </c>
      <c r="R657" s="6">
        <f>HYPERLINK("http://www.eum.go.kr/web/ar/lu/luLandDet.jsp?pnu=3611036033100580003&amp;isNoScr=script&amp;mode=search",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58-4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100000</v>
      </c>
      <c r="H658" s="4" t="n">
        <v>0</v>
      </c>
      <c r="I658" s="4" t="n">
        <v>435</v>
      </c>
      <c r="J658" s="4" t="n">
        <v>132</v>
      </c>
      <c r="K658" s="5" t="n">
        <v>757.6</v>
      </c>
      <c r="L658" s="4" t="n">
        <v>434</v>
      </c>
      <c r="M658" s="4" t="n">
        <v>131</v>
      </c>
      <c r="N658" s="5" t="n">
        <v>763.4</v>
      </c>
      <c r="O658" s="3" t="inlineStr">
        <is>
          <t>nan</t>
        </is>
      </c>
      <c r="P658" s="6">
        <f>HYPERLINK("https://fin.land.naver.com/articles/2651371076", "매물Link")</f>
        <v/>
      </c>
      <c r="Q658" s="6">
        <f>HYPERLINK("https://map.naver.com/p/search/연서면 봉암리 58-4", "지도Link")</f>
        <v/>
      </c>
      <c r="R658" s="6">
        <f>HYPERLINK("http://www.eum.go.kr/web/ar/lu/luLandDet.jsp?pnu=3611036033100580004&amp;isNoScr=script&amp;mode=search",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435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단기임대</t>
        </is>
      </c>
      <c r="G659" s="4" t="n">
        <v>200</v>
      </c>
      <c r="H659" s="4" t="n">
        <v>30</v>
      </c>
      <c r="I659" s="4" t="n">
        <v>139</v>
      </c>
      <c r="J659" s="4" t="n">
        <v>42</v>
      </c>
      <c r="K659" s="5" t="n">
        <v>4.8</v>
      </c>
      <c r="L659" s="4" t="n">
        <v>26</v>
      </c>
      <c r="M659" s="4" t="n">
        <v>8</v>
      </c>
      <c r="N659" s="5" t="n">
        <v>25</v>
      </c>
      <c r="O659" s="3" t="inlineStr">
        <is>
          <t>10.25일이후,교통우수,6달도가능 도시가스 ,세종시와 조치원 중간지점</t>
        </is>
      </c>
      <c r="P659" s="6">
        <f>HYPERLINK("https://fin.land.naver.com/articles/2655868100",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12.25일이후,봉암리 주방분리형 큰방,대중교통우수,난방도시가스입니다</t>
        </is>
      </c>
      <c r="P661" s="6">
        <f>HYPERLINK("https://fin.land.naver.com/articles/2655869774",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105000</v>
      </c>
      <c r="H662" s="4" t="n">
        <v>0</v>
      </c>
      <c r="I662" s="4" t="n">
        <v>436</v>
      </c>
      <c r="J662" s="4" t="n">
        <v>132</v>
      </c>
      <c r="K662" s="5" t="n">
        <v>795.5</v>
      </c>
      <c r="L662" s="4" t="n">
        <v>434</v>
      </c>
      <c r="M662" s="4" t="n">
        <v>131</v>
      </c>
      <c r="N662" s="5" t="n">
        <v>801.5</v>
      </c>
      <c r="O662" s="3" t="inlineStr">
        <is>
          <t>일반원룸보다 큰방  18개,주차편리,도시가스 월세와 관리비 포함 284만</t>
        </is>
      </c>
      <c r="P662" s="6">
        <f>HYPERLINK("https://fin.land.naver.com/articles/2655781709",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3000</v>
      </c>
      <c r="H663" s="4" t="n">
        <v>15</v>
      </c>
      <c r="I663" s="4" t="n">
        <v>139</v>
      </c>
      <c r="J663" s="4" t="n">
        <v>42</v>
      </c>
      <c r="K663" s="5" t="n">
        <v>0.4</v>
      </c>
      <c r="L663" s="4" t="n">
        <v>26</v>
      </c>
      <c r="M663" s="4" t="n">
        <v>8</v>
      </c>
      <c r="N663" s="5" t="n">
        <v>1.9</v>
      </c>
      <c r="O663" s="3" t="inlineStr">
        <is>
          <t>11.20일 전후 ,대중교통우수, 도시가스 ,세종시와 조치원 중간지점</t>
        </is>
      </c>
      <c r="P663" s="6">
        <f>HYPERLINK("https://fin.land.naver.com/articles/2656169402",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일반원룸</t>
        </is>
      </c>
      <c r="F664" s="3" t="inlineStr">
        <is>
          <t>전세</t>
        </is>
      </c>
      <c r="G664" s="4" t="n">
        <v>4500</v>
      </c>
      <c r="H664" s="4" t="n">
        <v>0</v>
      </c>
      <c r="I664" s="4" t="n">
        <v>139</v>
      </c>
      <c r="J664" s="4" t="n">
        <v>42</v>
      </c>
      <c r="K664" s="5" t="n">
        <v>107.1</v>
      </c>
      <c r="L664" s="4" t="n">
        <v>26</v>
      </c>
      <c r="M664" s="4" t="n">
        <v>8</v>
      </c>
      <c r="N664" s="5" t="n">
        <v>562.5</v>
      </c>
      <c r="O664" s="3" t="inlineStr">
        <is>
          <t>11.20일 전후 ,대중교통우수, 도시가스 ,세종시와 조치원 중간지점</t>
        </is>
      </c>
      <c r="P664" s="6">
        <f>HYPERLINK("https://fin.land.naver.com/articles/2656169459",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0.7</v>
      </c>
      <c r="L665" s="4" t="n">
        <v>26</v>
      </c>
      <c r="M665" s="4" t="n">
        <v>8</v>
      </c>
      <c r="N665" s="5" t="n">
        <v>3.8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HYPERLINK("https://fin.land.naver.com/articles/2655869445",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다가구</t>
        </is>
      </c>
      <c r="F666" s="3" t="inlineStr">
        <is>
          <t>전세</t>
        </is>
      </c>
      <c r="G666" s="4" t="n">
        <v>4500</v>
      </c>
      <c r="H666" s="4" t="n">
        <v>0</v>
      </c>
      <c r="I666" s="4" t="n">
        <v>139</v>
      </c>
      <c r="J666" s="4" t="n">
        <v>42</v>
      </c>
      <c r="K666" s="5" t="n">
        <v>107.1</v>
      </c>
      <c r="L666" s="4" t="n">
        <v>26</v>
      </c>
      <c r="M666" s="4" t="n">
        <v>8</v>
      </c>
      <c r="N666" s="5" t="n">
        <v>562.5</v>
      </c>
      <c r="O666" s="3" t="inlineStr">
        <is>
          <t>11.20일전후,주방분리형 큰방,대중교통우수,난방도시가스입니다</t>
        </is>
      </c>
      <c r="P666" s="6">
        <f>HYPERLINK("https://fin.land.naver.com/articles/2656169724",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620-26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25000</v>
      </c>
      <c r="H668" s="4" t="n">
        <v>0</v>
      </c>
      <c r="I668" s="4" t="n">
        <v>235</v>
      </c>
      <c r="J668" s="4" t="n">
        <v>71</v>
      </c>
      <c r="K668" s="5" t="n">
        <v>352.1</v>
      </c>
      <c r="L668" s="4" t="n">
        <v>74</v>
      </c>
      <c r="M668" s="4" t="n">
        <v>22</v>
      </c>
      <c r="N668" s="5" t="n">
        <v>1136.4</v>
      </c>
      <c r="O668" s="3" t="inlineStr">
        <is>
          <t>단독 주택 급매임. 세종시 가장 중심 지역으로 8차선 1번국도옆,</t>
        </is>
      </c>
      <c r="P668" s="6">
        <f>HYPERLINK("https://fin.land.naver.com/articles/2655416627", "매물Link")</f>
        <v/>
      </c>
      <c r="Q668" s="6">
        <f>HYPERLINK("https://map.naver.com/p/search/연서면 봉암리 620-26", "지도Link")</f>
        <v/>
      </c>
      <c r="R668" s="6">
        <f>HYPERLINK("http://www.eum.go.kr/web/ar/lu/luLandDet.jsp?pnu=3611036033106200026&amp;isNoScr=script&amp;mode=search",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116.7</v>
      </c>
      <c r="V668" s="4" t="n">
        <v>136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세로한면(불)</t>
        </is>
      </c>
    </row>
    <row r="669">
      <c r="A669" s="3" t="inlineStr">
        <is>
          <t>연서면 봉암리 677-2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400000</v>
      </c>
      <c r="H669" s="4" t="n">
        <v>0</v>
      </c>
      <c r="I669" s="4" t="n">
        <v>655</v>
      </c>
      <c r="J669" s="4" t="n">
        <v>198</v>
      </c>
      <c r="K669" s="5" t="n">
        <v>2020.2</v>
      </c>
      <c r="L669" s="4" t="n">
        <v>253</v>
      </c>
      <c r="M669" s="4" t="n">
        <v>77</v>
      </c>
      <c r="N669" s="5" t="n">
        <v>5194.8</v>
      </c>
      <c r="O669" s="3" t="inlineStr">
        <is>
          <t>nan</t>
        </is>
      </c>
      <c r="P669" s="6">
        <f>HYPERLINK("https://fin.land.naver.com/articles/2651088122", "매물Link")</f>
        <v/>
      </c>
      <c r="Q669" s="6">
        <f>HYPERLINK("https://map.naver.com/p/search/연서면 봉암리 677-2", "지도Link")</f>
        <v/>
      </c>
      <c r="R669" s="6">
        <f>HYPERLINK("http://www.eum.go.kr/web/ar/lu/luLandDet.jsp?pnu=3611036033106770002&amp;isNoScr=script&amp;mode=search", "토지이음")</f>
        <v/>
      </c>
      <c r="S669" s="3" t="inlineStr">
        <is>
          <t>오송파라곤리치</t>
        </is>
      </c>
      <c r="T669" s="4" t="n">
        <v>1</v>
      </c>
      <c r="U669" s="5" t="n">
        <v>116.6</v>
      </c>
      <c r="V669" s="4" t="n">
        <v>655</v>
      </c>
      <c r="W669" s="3" t="inlineStr">
        <is>
          <t>지정되지않음</t>
        </is>
      </c>
      <c r="X669" s="3" t="inlineStr">
        <is>
          <t>주거기타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매매</t>
        </is>
      </c>
      <c r="G671" s="4" t="n">
        <v>190000</v>
      </c>
      <c r="H671" s="4" t="n">
        <v>0</v>
      </c>
      <c r="I671" s="4" t="n">
        <v>570</v>
      </c>
      <c r="J671" s="4" t="n">
        <v>172</v>
      </c>
      <c r="K671" s="5" t="n">
        <v>1104.7</v>
      </c>
      <c r="L671" s="4" t="n">
        <v>594</v>
      </c>
      <c r="M671" s="4" t="n">
        <v>180</v>
      </c>
      <c r="N671" s="5" t="n">
        <v>1055.6</v>
      </c>
      <c r="O671" s="3" t="inlineStr">
        <is>
          <t>신축다가구  가격조정가능 엘리베이터 와촌국가산업단지 인근</t>
        </is>
      </c>
      <c r="P671" s="6">
        <f>HYPERLINK("https://fin.land.naver.com/articles/2656043376",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그래그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500</v>
      </c>
      <c r="H673" s="4" t="n">
        <v>40</v>
      </c>
      <c r="I673" s="4" t="n">
        <v>178</v>
      </c>
      <c r="J673" s="4" t="n">
        <v>54</v>
      </c>
      <c r="K673" s="5" t="n">
        <v>0.7</v>
      </c>
      <c r="L673" s="4" t="n">
        <v>25</v>
      </c>
      <c r="M673" s="4" t="n">
        <v>8</v>
      </c>
      <c r="N673" s="5" t="n">
        <v>5</v>
      </c>
      <c r="O673" s="3" t="inlineStr">
        <is>
          <t>신축 깔끔한 풀옵션완비방  엘베는기본  주차편리 정남향  정부청사10분</t>
        </is>
      </c>
      <c r="P673" s="6">
        <f>HYPERLINK("https://fin.land.naver.com/articles/2652712844",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4000</v>
      </c>
      <c r="H675" s="4" t="n">
        <v>40</v>
      </c>
      <c r="I675" s="4" t="n">
        <v>60</v>
      </c>
      <c r="J675" s="4" t="n">
        <v>18</v>
      </c>
      <c r="K675" s="5" t="n">
        <v>2.2</v>
      </c>
      <c r="L675" s="4" t="n">
        <v>30</v>
      </c>
      <c r="M675" s="4" t="n">
        <v>9</v>
      </c>
      <c r="N675" s="5" t="n">
        <v>4.4</v>
      </c>
      <c r="O675" s="3" t="inlineStr">
        <is>
          <t>투룸,10월26일입주 가능,금액조율가능,전세도 가능9천만원풀옵션</t>
        </is>
      </c>
      <c r="P675" s="6">
        <f>HYPERLINK("https://fin.land.naver.com/articles/2652335755",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담뜰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120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전원주택</t>
        </is>
      </c>
      <c r="F678" s="3" t="inlineStr">
        <is>
          <t>매매</t>
        </is>
      </c>
      <c r="G678" s="4" t="n">
        <v>112000</v>
      </c>
      <c r="H678" s="4" t="n">
        <v>0</v>
      </c>
      <c r="I678" s="4" t="n">
        <v>662</v>
      </c>
      <c r="J678" s="4" t="n">
        <v>200</v>
      </c>
      <c r="K678" s="5" t="n">
        <v>560</v>
      </c>
      <c r="L678" s="4" t="n">
        <v>128</v>
      </c>
      <c r="M678" s="4" t="n">
        <v>39</v>
      </c>
      <c r="N678" s="5" t="n">
        <v>2871.8</v>
      </c>
      <c r="O678" s="3" t="inlineStr">
        <is>
          <t>전원주택과 붙어있는 계획관리지역 전1193㎡ 를 포함한 일괄매매 협의입주</t>
        </is>
      </c>
      <c r="P678" s="6">
        <f>HYPERLINK("https://fin.land.naver.com/articles/2650977179", "매물Link")</f>
        <v/>
      </c>
      <c r="Q678" s="6">
        <f>HYPERLINK("https://map.naver.com/p/search/연서면 성제리 120", "지도Link")</f>
        <v/>
      </c>
      <c r="R678" s="6">
        <f>HYPERLINK("http://www.eum.go.kr/web/ar/lu/luLandDet.jsp?pnu=3611036023101200000&amp;isNoScr=script&amp;mode=search", "토지이음")</f>
        <v/>
      </c>
      <c r="S678" s="3" t="inlineStr">
        <is>
          <t>정보은행</t>
        </is>
      </c>
      <c r="T678" s="4" t="n">
        <v>1</v>
      </c>
      <c r="U678" s="5" t="n">
        <v>95.09999999999999</v>
      </c>
      <c r="V678" s="4" t="n">
        <v>662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급매, 조율가능, 2층 단독주택, 정남향, 조용한 전원주택 생활 가능</t>
        </is>
      </c>
      <c r="P679" s="6">
        <f>HYPERLINK("https://fin.land.naver.com/articles/2654049589",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세종무지개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150-8</t>
        </is>
      </c>
      <c r="B680" s="3" t="inlineStr">
        <is>
          <t>농림지역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단독</t>
        </is>
      </c>
      <c r="F680" s="3" t="inlineStr">
        <is>
          <t>매매</t>
        </is>
      </c>
      <c r="G680" s="4" t="n">
        <v>33000</v>
      </c>
      <c r="H680" s="4" t="n">
        <v>0</v>
      </c>
      <c r="I680" s="4" t="n">
        <v>493</v>
      </c>
      <c r="J680" s="4" t="n">
        <v>149</v>
      </c>
      <c r="K680" s="5" t="n">
        <v>221.5</v>
      </c>
      <c r="L680" s="4" t="n">
        <v>234</v>
      </c>
      <c r="M680" s="4" t="n">
        <v>71</v>
      </c>
      <c r="N680" s="5" t="n">
        <v>464.8</v>
      </c>
      <c r="O680" s="3" t="inlineStr">
        <is>
          <t>급매세종 생활권 5분 탁 트인 조망과 햇살을 품은 프리미엄 2층단독</t>
        </is>
      </c>
      <c r="P680" s="6">
        <f>HYPERLINK("https://fin.land.naver.com/articles/2655074425", "매물Link")</f>
        <v/>
      </c>
      <c r="Q680" s="6">
        <f>HYPERLINK("https://map.naver.com/p/search/연서면 성제리 150-8", "지도Link")</f>
        <v/>
      </c>
      <c r="R680" s="6">
        <f>HYPERLINK("http://www.eum.go.kr/web/ar/lu/luLandDet.jsp?pnu=3611036023101500008&amp;isNoScr=script&amp;mode=search", "토지이음")</f>
        <v/>
      </c>
      <c r="S680" s="3" t="inlineStr">
        <is>
          <t>엄지척</t>
        </is>
      </c>
      <c r="T680" s="4" t="n">
        <v>1</v>
      </c>
      <c r="U680" s="5" t="n">
        <v>38.2</v>
      </c>
      <c r="V680" s="4" t="n">
        <v>493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성제리 178-1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25000</v>
      </c>
      <c r="H681" s="4" t="n">
        <v>0</v>
      </c>
      <c r="I681" s="4" t="n">
        <v>399</v>
      </c>
      <c r="J681" s="4" t="n">
        <v>121</v>
      </c>
      <c r="K681" s="5" t="n">
        <v>206.6</v>
      </c>
      <c r="L681" s="4" t="n">
        <v>109</v>
      </c>
      <c r="M681" s="4" t="n">
        <v>33</v>
      </c>
      <c r="N681" s="5" t="n">
        <v>757.6</v>
      </c>
      <c r="O681" s="3" t="inlineStr">
        <is>
          <t>성제리 주택지</t>
        </is>
      </c>
      <c r="P681" s="6">
        <f>HYPERLINK("https://fin.land.naver.com/articles/2654909943", "매물Link")</f>
        <v/>
      </c>
      <c r="Q681" s="6">
        <f>HYPERLINK("https://map.naver.com/p/search/연서면 성제리 178-1", "지도Link")</f>
        <v/>
      </c>
      <c r="R681" s="6">
        <f>HYPERLINK("http://www.eum.go.kr/web/ar/lu/luLandDet.jsp?pnu=3611036023101780001&amp;isNoScr=script&amp;mode=search", "토지이음")</f>
        <v/>
      </c>
      <c r="S681" s="3" t="inlineStr">
        <is>
          <t>KB세종</t>
        </is>
      </c>
      <c r="T681" s="4" t="n">
        <v>1</v>
      </c>
      <c r="U681" s="5" t="n">
        <v>76.59999999999999</v>
      </c>
      <c r="V681" s="4" t="n">
        <v>399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부정형</t>
        </is>
      </c>
      <c r="AA681" s="3" t="inlineStr">
        <is>
          <t>세로한면(불)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39000</v>
      </c>
      <c r="H683" s="4" t="n">
        <v>0</v>
      </c>
      <c r="I683" s="4" t="n">
        <v>327</v>
      </c>
      <c r="J683" s="4" t="n">
        <v>99</v>
      </c>
      <c r="K683" s="5" t="n">
        <v>393.9</v>
      </c>
      <c r="L683" s="4" t="n">
        <v>168</v>
      </c>
      <c r="M683" s="4" t="n">
        <v>51</v>
      </c>
      <c r="N683" s="5" t="n">
        <v>764.7</v>
      </c>
      <c r="O683" s="3" t="inlineStr">
        <is>
          <t>급매 조정가능 연서중인근 고속도로 나들목 가깝고 텃밭있음</t>
        </is>
      </c>
      <c r="P683" s="6">
        <f>HYPERLINK("https://fin.land.naver.com/articles/2654464490",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그래그</t>
        </is>
      </c>
      <c r="T683" s="4" t="n">
        <v>2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월세</t>
        </is>
      </c>
      <c r="G687" s="4" t="n">
        <v>5000</v>
      </c>
      <c r="H687" s="4" t="n">
        <v>120</v>
      </c>
      <c r="I687" s="4" t="n">
        <v>327</v>
      </c>
      <c r="J687" s="4" t="n">
        <v>99</v>
      </c>
      <c r="K687" s="5" t="n">
        <v>1.2</v>
      </c>
      <c r="L687" s="4" t="n">
        <v>168</v>
      </c>
      <c r="M687" s="4" t="n">
        <v>51</v>
      </c>
      <c r="N687" s="5" t="n">
        <v>2.4</v>
      </c>
      <c r="O687" s="3" t="inlineStr">
        <is>
          <t>깔끔한 전원주택</t>
        </is>
      </c>
      <c r="P687" s="6">
        <f>HYPERLINK("https://fin.land.naver.com/articles/2652285276",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신대리 105-8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전세</t>
        </is>
      </c>
      <c r="G688" s="4" t="n">
        <v>30000</v>
      </c>
      <c r="H688" s="4" t="n">
        <v>0</v>
      </c>
      <c r="I688" s="4" t="n">
        <v>327</v>
      </c>
      <c r="J688" s="4" t="n">
        <v>99</v>
      </c>
      <c r="K688" s="5" t="n">
        <v>303</v>
      </c>
      <c r="L688" s="4" t="n">
        <v>168</v>
      </c>
      <c r="M688" s="4" t="n">
        <v>51</v>
      </c>
      <c r="N688" s="5" t="n">
        <v>588.2</v>
      </c>
      <c r="O688" s="3" t="inlineStr">
        <is>
          <t>깨끗한 2층전원주택,주택바로뒤가 연서중학교 위치,3층다락방은 서비스면적</t>
        </is>
      </c>
      <c r="P688" s="6">
        <f>HYPERLINK("https://fin.land.naver.com/articles/2652036901", "매물Link")</f>
        <v/>
      </c>
      <c r="Q688" s="6">
        <f>HYPERLINK("https://map.naver.com/p/search/연서면 신대리 105-8", "지도Link")</f>
        <v/>
      </c>
      <c r="R688" s="6">
        <f>HYPERLINK("http://www.eum.go.kr/web/ar/lu/luLandDet.jsp?pnu=3611036029101050008&amp;isNoScr=script&amp;mode=search", "토지이음")</f>
        <v/>
      </c>
      <c r="S688" s="3" t="inlineStr">
        <is>
          <t>담뜰</t>
        </is>
      </c>
      <c r="T688" s="4" t="n">
        <v>1</v>
      </c>
      <c r="U688" s="5" t="n">
        <v>91.59999999999999</v>
      </c>
      <c r="V688" s="4" t="n">
        <v>327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신대리 556-1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31000</v>
      </c>
      <c r="H689" s="4" t="n">
        <v>0</v>
      </c>
      <c r="I689" s="4" t="n">
        <v>373</v>
      </c>
      <c r="J689" s="4" t="n">
        <v>113</v>
      </c>
      <c r="K689" s="5" t="n">
        <v>274.3</v>
      </c>
      <c r="L689" s="4" t="n">
        <v>72</v>
      </c>
      <c r="M689" s="4" t="n">
        <v>22</v>
      </c>
      <c r="N689" s="5" t="n">
        <v>1409.1</v>
      </c>
      <c r="O689" s="3" t="inlineStr">
        <is>
          <t>태양광 설치된 1층 단독주택, 즉시입주 가능한 귀촌형 전원주택</t>
        </is>
      </c>
      <c r="P689" s="6">
        <f>HYPERLINK("https://fin.land.naver.com/articles/2650903513", "매물Link")</f>
        <v/>
      </c>
      <c r="Q689" s="6">
        <f>HYPERLINK("https://map.naver.com/p/search/연서면 신대리 556-1", "지도Link")</f>
        <v/>
      </c>
      <c r="R689" s="6">
        <f>HYPERLINK("http://www.eum.go.kr/web/ar/lu/luLandDet.jsp?pnu=3611036029105560001&amp;isNoScr=script&amp;mode=search", "토지이음")</f>
        <v/>
      </c>
      <c r="S689" s="3" t="inlineStr">
        <is>
          <t>세종소담황금</t>
        </is>
      </c>
      <c r="T689" s="4" t="n">
        <v>1</v>
      </c>
      <c r="U689" s="5" t="n">
        <v>71.90000000000001</v>
      </c>
      <c r="V689" s="4" t="n">
        <v>373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세로한면(가)</t>
        </is>
      </c>
    </row>
    <row r="690">
      <c r="A690" s="3" t="inlineStr">
        <is>
          <t>연서면 쌍류리 257-2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40000</v>
      </c>
      <c r="H690" s="4" t="n">
        <v>0</v>
      </c>
      <c r="I690" s="4" t="n">
        <v>313</v>
      </c>
      <c r="J690" s="4" t="n">
        <v>95</v>
      </c>
      <c r="K690" s="5" t="n">
        <v>421.1</v>
      </c>
      <c r="L690" s="4" t="n">
        <v>127</v>
      </c>
      <c r="M690" s="4" t="n">
        <v>38</v>
      </c>
      <c r="N690" s="5" t="n">
        <v>1052.6</v>
      </c>
      <c r="O690" s="3" t="inlineStr">
        <is>
          <t>고복저수지 인근 단독주택</t>
        </is>
      </c>
      <c r="P690" s="6">
        <f>HYPERLINK("https://fin.land.naver.com/articles/2651277336", "매물Link")</f>
        <v/>
      </c>
      <c r="Q690" s="6">
        <f>HYPERLINK("https://map.naver.com/p/search/연서면 쌍류리 257-2", "지도Link")</f>
        <v/>
      </c>
      <c r="R690" s="6">
        <f>HYPERLINK("http://www.eum.go.kr/web/ar/lu/luLandDet.jsp?pnu=3611036026102570002&amp;isNoScr=script&amp;mode=search", "토지이음")</f>
        <v/>
      </c>
      <c r="S690" s="3" t="inlineStr">
        <is>
          <t>강아지풀</t>
        </is>
      </c>
      <c r="T690" s="4" t="n">
        <v>1</v>
      </c>
      <c r="U690" s="5" t="n">
        <v>59.5</v>
      </c>
      <c r="V690" s="4" t="n">
        <v>717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159-2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55000</v>
      </c>
      <c r="H691" s="4" t="n">
        <v>0</v>
      </c>
      <c r="I691" s="4" t="n">
        <v>624</v>
      </c>
      <c r="J691" s="4" t="n">
        <v>189</v>
      </c>
      <c r="K691" s="5" t="n">
        <v>291</v>
      </c>
      <c r="L691" s="4" t="n">
        <v>140</v>
      </c>
      <c r="M691" s="4" t="n">
        <v>42</v>
      </c>
      <c r="N691" s="5" t="n">
        <v>1309.5</v>
      </c>
      <c r="O691" s="3" t="inlineStr">
        <is>
          <t>급매. 쌍전리 뷰 좋고 관리 잘 된 2층 단독주택. 입주일 협의.</t>
        </is>
      </c>
      <c r="P691" s="6">
        <f>HYPERLINK("https://fin.land.naver.com/articles/2653849760", "매물Link")</f>
        <v/>
      </c>
      <c r="Q691" s="6">
        <f>HYPERLINK("https://map.naver.com/p/search/연서면 쌍전리 159-2", "지도Link")</f>
        <v/>
      </c>
      <c r="R691" s="6">
        <f>HYPERLINK("http://www.eum.go.kr/web/ar/lu/luLandDet.jsp?pnu=3611036022101590002&amp;isNoScr=script&amp;mode=search", "토지이음")</f>
        <v/>
      </c>
      <c r="S691" s="3" t="inlineStr">
        <is>
          <t>세종대장</t>
        </is>
      </c>
      <c r="T691" s="4" t="n">
        <v>1</v>
      </c>
      <c r="U691" s="5" t="n">
        <v>111.2</v>
      </c>
      <c r="V691" s="4" t="n">
        <v>635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쌍전리 188</t>
        </is>
      </c>
      <c r="B692" s="3" t="inlineStr">
        <is>
          <t>자연녹지지역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43000</v>
      </c>
      <c r="H692" s="4" t="n">
        <v>0</v>
      </c>
      <c r="I692" s="4" t="n">
        <v>412</v>
      </c>
      <c r="J692" s="4" t="n">
        <v>125</v>
      </c>
      <c r="K692" s="5" t="n">
        <v>344</v>
      </c>
      <c r="L692" s="4" t="n">
        <v>70</v>
      </c>
      <c r="M692" s="4" t="n">
        <v>21</v>
      </c>
      <c r="N692" s="5" t="n">
        <v>2047.6</v>
      </c>
      <c r="O692" s="3" t="inlineStr">
        <is>
          <t>햇살좋은 단독전원주택 심야전기 큰방1 작은방1 화장실1 다락1 마당</t>
        </is>
      </c>
      <c r="P692" s="6">
        <f>HYPERLINK("https://fin.land.naver.com/articles/2655217516", "매물Link")</f>
        <v/>
      </c>
      <c r="Q692" s="6">
        <f>HYPERLINK("https://map.naver.com/p/search/연서면 쌍전리 188", "지도Link")</f>
        <v/>
      </c>
      <c r="R692" s="6">
        <f>HYPERLINK("http://www.eum.go.kr/web/ar/lu/luLandDet.jsp?pnu=3611036022101880000&amp;isNoScr=script&amp;mode=search", "토지이음")</f>
        <v/>
      </c>
      <c r="S692" s="3" t="inlineStr">
        <is>
          <t>세종이룸</t>
        </is>
      </c>
      <c r="T692" s="4" t="n">
        <v>2</v>
      </c>
      <c r="U692" s="5" t="n">
        <v>111.2</v>
      </c>
      <c r="V692" s="4" t="n">
        <v>421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1218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71000</v>
      </c>
      <c r="H694" s="4" t="n">
        <v>0</v>
      </c>
      <c r="I694" s="4" t="n">
        <v>877</v>
      </c>
      <c r="J694" s="4" t="n">
        <v>265</v>
      </c>
      <c r="K694" s="5" t="n">
        <v>267.9</v>
      </c>
      <c r="L694" s="4" t="n">
        <v>96</v>
      </c>
      <c r="M694" s="4" t="n">
        <v>29</v>
      </c>
      <c r="N694" s="5" t="n">
        <v>2448.3</v>
      </c>
      <c r="O694" s="3" t="inlineStr">
        <is>
          <t>최근 리모델링 ,  입주 가능 , 국가산업단지 인근,투자가치높은지역</t>
        </is>
      </c>
      <c r="P694" s="6">
        <f>HYPERLINK("https://fin.land.naver.com/articles/2652359824", "매물Link")</f>
        <v/>
      </c>
      <c r="Q694" s="6">
        <f>HYPERLINK("https://map.naver.com/p/search/연서면 와촌리 1218", "지도Link")</f>
        <v/>
      </c>
      <c r="R694" s="6">
        <f>HYPERLINK("http://www.eum.go.kr/web/ar/lu/luLandDet.jsp?pnu=3611036031112180000&amp;isNoScr=script&amp;mode=search", "토지이음")</f>
        <v/>
      </c>
      <c r="S694" s="3" t="inlineStr">
        <is>
          <t>세종특별시</t>
        </is>
      </c>
      <c r="T694" s="4" t="n">
        <v>1</v>
      </c>
      <c r="U694" s="5" t="n">
        <v>90.3</v>
      </c>
      <c r="V694" s="4" t="n">
        <v>745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부정형</t>
        </is>
      </c>
      <c r="AA694" s="3" t="inlineStr">
        <is>
          <t>세로한면(가)</t>
        </is>
      </c>
    </row>
    <row r="695">
      <c r="A695" s="3" t="inlineStr">
        <is>
          <t>연서면 와촌리 791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65000</v>
      </c>
      <c r="H695" s="4" t="n">
        <v>0</v>
      </c>
      <c r="I695" s="4" t="n">
        <v>496</v>
      </c>
      <c r="J695" s="4" t="n">
        <v>150</v>
      </c>
      <c r="K695" s="5" t="n">
        <v>433.3</v>
      </c>
      <c r="L695" s="4" t="n">
        <v>91</v>
      </c>
      <c r="M695" s="4" t="n">
        <v>28</v>
      </c>
      <c r="N695" s="5" t="n">
        <v>2321.4</v>
      </c>
      <c r="O695" s="3" t="inlineStr">
        <is>
          <t>신축 한옥주택황토방 즉시입주협의</t>
        </is>
      </c>
      <c r="P695" s="6">
        <f>HYPERLINK("https://fin.land.naver.com/articles/2650856623", "매물Link")</f>
        <v/>
      </c>
      <c r="Q695" s="6">
        <f>HYPERLINK("https://map.naver.com/p/search/연서면 와촌리 791", "지도Link")</f>
        <v/>
      </c>
      <c r="R695" s="6">
        <f>HYPERLINK("http://www.eum.go.kr/web/ar/lu/luLandDet.jsp?pnu=3611036031107910000&amp;isNoScr=script&amp;mode=search", "토지이음")</f>
        <v/>
      </c>
      <c r="S695" s="3" t="inlineStr">
        <is>
          <t>세종대박</t>
        </is>
      </c>
      <c r="T695" s="4" t="n">
        <v>1</v>
      </c>
      <c r="U695" s="5" t="n">
        <v>122</v>
      </c>
      <c r="V695" s="4" t="n">
        <v>496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와촌리 900-5</t>
        </is>
      </c>
      <c r="B696" s="3" t="inlineStr">
        <is>
          <t>계획관리지역</t>
        </is>
      </c>
      <c r="C696" s="3" t="inlineStr">
        <is>
          <t>종교용지</t>
        </is>
      </c>
      <c r="D696" s="3" t="inlineStr">
        <is>
          <t>1</t>
        </is>
      </c>
      <c r="E696" s="3" t="inlineStr">
        <is>
          <t>전원주택</t>
        </is>
      </c>
      <c r="F696" s="3" t="inlineStr">
        <is>
          <t>매매</t>
        </is>
      </c>
      <c r="G696" s="4" t="n">
        <v>289000</v>
      </c>
      <c r="H696" s="4" t="n">
        <v>0</v>
      </c>
      <c r="I696" s="4" t="n">
        <v>1597</v>
      </c>
      <c r="J696" s="4" t="n">
        <v>483</v>
      </c>
      <c r="K696" s="5" t="n">
        <v>598.3</v>
      </c>
      <c r="L696" s="4" t="n">
        <v>314</v>
      </c>
      <c r="M696" s="4" t="n">
        <v>95</v>
      </c>
      <c r="N696" s="5" t="n">
        <v>3042.1</v>
      </c>
      <c r="O696" s="3" t="inlineStr">
        <is>
          <t>스마트시티도시 인근. 도로변토지.계획관리.취락지구. 건폐율,용적률완화</t>
        </is>
      </c>
      <c r="P696" s="6">
        <f>HYPERLINK("https://fin.land.naver.com/articles/2656309979", "매물Link")</f>
        <v/>
      </c>
      <c r="Q696" s="6">
        <f>HYPERLINK("https://map.naver.com/p/search/연서면 와촌리 900-5", "지도Link")</f>
        <v/>
      </c>
      <c r="R696" s="6">
        <f>HYPERLINK("http://www.eum.go.kr/web/ar/lu/luLandDet.jsp?pnu=3611036031109000005&amp;isNoScr=script&amp;mode=search", "토지이음")</f>
        <v/>
      </c>
      <c r="S696" s="3" t="inlineStr">
        <is>
          <t>양평땅진이서</t>
        </is>
      </c>
      <c r="T696" s="4" t="n">
        <v>1</v>
      </c>
      <c r="U696" s="5" t="n">
        <v>134.5</v>
      </c>
      <c r="V696" s="4" t="n">
        <v>555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소로한면</t>
        </is>
      </c>
    </row>
    <row r="697">
      <c r="A697" s="3" t="inlineStr">
        <is>
          <t>연서면 월하리 1008-5</t>
        </is>
      </c>
      <c r="B697" s="3" t="inlineStr">
        <is>
          <t>제1종일반주거지역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30000</v>
      </c>
      <c r="H697" s="4" t="n">
        <v>0</v>
      </c>
      <c r="I697" s="4" t="n">
        <v>144</v>
      </c>
      <c r="J697" s="4" t="n">
        <v>44</v>
      </c>
      <c r="K697" s="5" t="n">
        <v>681.8</v>
      </c>
      <c r="L697" s="4" t="n">
        <v>84</v>
      </c>
      <c r="M697" s="4" t="n">
        <v>25</v>
      </c>
      <c r="N697" s="5" t="n">
        <v>1200</v>
      </c>
      <c r="O697" s="3" t="inlineStr">
        <is>
          <t>빠른입주, 전망 좋은 주택</t>
        </is>
      </c>
      <c r="P697" s="6">
        <f>HYPERLINK("https://fin.land.naver.com/articles/2651233233", "매물Link")</f>
        <v/>
      </c>
      <c r="Q697" s="6">
        <f>HYPERLINK("https://map.naver.com/p/search/연서면 월하리 1008-5", "지도Link")</f>
        <v/>
      </c>
      <c r="R697" s="6">
        <f>HYPERLINK("http://www.eum.go.kr/web/ar/lu/luLandDet.jsp?pnu=3611036021110080005&amp;isNoScr=script&amp;mode=search", "토지이음")</f>
        <v/>
      </c>
      <c r="S697" s="3" t="inlineStr">
        <is>
          <t>정인</t>
        </is>
      </c>
      <c r="T697" s="4" t="n">
        <v>1</v>
      </c>
      <c r="U697" s="5" t="n">
        <v>184.8</v>
      </c>
      <c r="V697" s="4" t="n">
        <v>145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617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60000</v>
      </c>
      <c r="H698" s="4" t="n">
        <v>0</v>
      </c>
      <c r="I698" s="4" t="n">
        <v>413</v>
      </c>
      <c r="J698" s="4" t="n">
        <v>125</v>
      </c>
      <c r="K698" s="5" t="n">
        <v>480</v>
      </c>
      <c r="L698" s="4" t="n">
        <v>296</v>
      </c>
      <c r="M698" s="4" t="n">
        <v>90</v>
      </c>
      <c r="N698" s="5" t="n">
        <v>666.7</v>
      </c>
      <c r="O698" s="3" t="inlineStr">
        <is>
          <t>1동 2동 단독주택 가격조정가능 입지좋아요.전 101제곱미터도 포함</t>
        </is>
      </c>
      <c r="P698" s="6">
        <f>HYPERLINK("https://fin.land.naver.com/articles/2651366901", "매물Link")</f>
        <v/>
      </c>
      <c r="Q698" s="6">
        <f>HYPERLINK("https://map.naver.com/p/search/연서면 월하리 617", "지도Link")</f>
        <v/>
      </c>
      <c r="R698" s="6">
        <f>HYPERLINK("http://www.eum.go.kr/web/ar/lu/luLandDet.jsp?pnu=3611036021106170000&amp;isNoScr=script&amp;mode=search", "토지이음")</f>
        <v/>
      </c>
      <c r="S698" s="3" t="inlineStr">
        <is>
          <t>고운동리치세종</t>
        </is>
      </c>
      <c r="T698" s="4" t="n">
        <v>1</v>
      </c>
      <c r="U698" s="5" t="n">
        <v>157.5</v>
      </c>
      <c r="V698" s="4" t="n">
        <v>413</v>
      </c>
      <c r="W698" s="3" t="inlineStr">
        <is>
          <t>지정되지않음</t>
        </is>
      </c>
      <c r="X698" s="3" t="inlineStr">
        <is>
          <t>주거기타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647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단독</t>
        </is>
      </c>
      <c r="F699" s="3" t="inlineStr">
        <is>
          <t>매매</t>
        </is>
      </c>
      <c r="G699" s="4" t="n">
        <v>21500</v>
      </c>
      <c r="H699" s="4" t="n">
        <v>0</v>
      </c>
      <c r="I699" s="4" t="n">
        <v>281</v>
      </c>
      <c r="J699" s="4" t="n">
        <v>85</v>
      </c>
      <c r="K699" s="5" t="n">
        <v>252.9</v>
      </c>
      <c r="L699" s="4" t="n">
        <v>70</v>
      </c>
      <c r="M699" s="4" t="n">
        <v>21</v>
      </c>
      <c r="N699" s="5" t="n">
        <v>1023.8</v>
      </c>
      <c r="O699" s="3" t="inlineStr">
        <is>
          <t>가장 중심 지역으로 8차선 1번국도옆, 와촌리 국가 산업 단지 근교,</t>
        </is>
      </c>
      <c r="P699" s="6">
        <f>HYPERLINK("https://fin.land.naver.com/articles/2656121870", "매물Link")</f>
        <v/>
      </c>
      <c r="Q699" s="6">
        <f>HYPERLINK("https://map.naver.com/p/search/연서면 월하리 647", "지도Link")</f>
        <v/>
      </c>
      <c r="R699" s="6">
        <f>HYPERLINK("http://www.eum.go.kr/web/ar/lu/luLandDet.jsp?pnu=3611036021106470000&amp;isNoScr=script&amp;mode=search",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157.5</v>
      </c>
      <c r="V699" s="4" t="n">
        <v>281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647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전원주택</t>
        </is>
      </c>
      <c r="F700" s="3" t="inlineStr">
        <is>
          <t>매매</t>
        </is>
      </c>
      <c r="G700" s="4" t="n">
        <v>22000</v>
      </c>
      <c r="H700" s="4" t="n">
        <v>0</v>
      </c>
      <c r="I700" s="4" t="n">
        <v>291</v>
      </c>
      <c r="J700" s="4" t="n">
        <v>88</v>
      </c>
      <c r="K700" s="5" t="n">
        <v>250</v>
      </c>
      <c r="L700" s="4" t="n">
        <v>70</v>
      </c>
      <c r="M700" s="4" t="n">
        <v>21</v>
      </c>
      <c r="N700" s="5" t="n">
        <v>1047.6</v>
      </c>
      <c r="O700" s="3" t="inlineStr">
        <is>
          <t>6차선도로 인접이며 상태 좋은 주택입니다</t>
        </is>
      </c>
      <c r="P700" s="6">
        <f>HYPERLINK("https://fin.land.naver.com/articles/2652095425", "매물Link")</f>
        <v/>
      </c>
      <c r="Q700" s="6">
        <f>HYPERLINK("https://map.naver.com/p/search/연서면 월하리 647", "지도Link")</f>
        <v/>
      </c>
      <c r="R700" s="6">
        <f>HYPERLINK("http://www.eum.go.kr/web/ar/lu/luLandDet.jsp?pnu=3611036021106470000&amp;isNoScr=script&amp;mode=search", "토지이음")</f>
        <v/>
      </c>
      <c r="S700" s="3" t="inlineStr">
        <is>
          <t>지호주식회사</t>
        </is>
      </c>
      <c r="T700" s="4" t="n">
        <v>1</v>
      </c>
      <c r="U700" s="5" t="n">
        <v>157.5</v>
      </c>
      <c r="V700" s="4" t="n">
        <v>281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연서면 월하리 650-19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30000</v>
      </c>
      <c r="H701" s="4" t="n">
        <v>0</v>
      </c>
      <c r="I701" s="4" t="n">
        <v>207</v>
      </c>
      <c r="J701" s="4" t="n">
        <v>63</v>
      </c>
      <c r="K701" s="5" t="n">
        <v>476.2</v>
      </c>
      <c r="L701" s="4" t="n">
        <v>82</v>
      </c>
      <c r="M701" s="4" t="n">
        <v>25</v>
      </c>
      <c r="N701" s="5" t="n">
        <v>1200</v>
      </c>
      <c r="O701" s="3" t="inlineStr">
        <is>
          <t>1번국도 인접한 교통좋고 깨끗한 2층단독주택.1층과 2층 모두 임대중.</t>
        </is>
      </c>
      <c r="P701" s="6">
        <f>HYPERLINK("https://fin.land.naver.com/articles/2653046906", "매물Link")</f>
        <v/>
      </c>
      <c r="Q701" s="6">
        <f>HYPERLINK("https://map.naver.com/p/search/연서면 월하리 650-19", "지도Link")</f>
        <v/>
      </c>
      <c r="R701" s="6">
        <f>HYPERLINK("http://www.eum.go.kr/web/ar/lu/luLandDet.jsp?pnu=3611036021106500019&amp;isNoScr=script&amp;mode=search", "토지이음")</f>
        <v/>
      </c>
      <c r="S701" s="3" t="inlineStr">
        <is>
          <t>세종대장</t>
        </is>
      </c>
      <c r="T701" s="4" t="n">
        <v>1</v>
      </c>
      <c r="U701" s="5" t="n">
        <v>157.5</v>
      </c>
      <c r="V701" s="4" t="n">
        <v>207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전세</t>
        </is>
      </c>
      <c r="G702" s="4" t="n">
        <v>11000</v>
      </c>
      <c r="H702" s="4" t="n">
        <v>0</v>
      </c>
      <c r="I702" s="4" t="n">
        <v>127</v>
      </c>
      <c r="J702" s="4" t="n">
        <v>38</v>
      </c>
      <c r="K702" s="5" t="n">
        <v>289.5</v>
      </c>
      <c r="L702" s="4" t="n">
        <v>127</v>
      </c>
      <c r="M702" s="4" t="n">
        <v>38</v>
      </c>
      <c r="N702" s="5" t="n">
        <v>289.5</v>
      </c>
      <c r="O702" s="3" t="inlineStr">
        <is>
          <t>도원초등학교 인근, 남향, 방4, 욕실2, 넓은 주택 전세입니다.</t>
        </is>
      </c>
      <c r="P702" s="6">
        <f>HYPERLINK("https://fin.land.naver.com/articles/2655676609",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하늘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805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상가주택</t>
        </is>
      </c>
      <c r="F703" s="3" t="inlineStr">
        <is>
          <t>매매</t>
        </is>
      </c>
      <c r="G703" s="4" t="n">
        <v>100000</v>
      </c>
      <c r="H703" s="4" t="n">
        <v>0</v>
      </c>
      <c r="I703" s="4" t="n">
        <v>637</v>
      </c>
      <c r="J703" s="4" t="n">
        <v>193</v>
      </c>
      <c r="K703" s="5" t="n">
        <v>518.1</v>
      </c>
      <c r="L703" s="4" t="n">
        <v>330</v>
      </c>
      <c r="M703" s="4" t="n">
        <v>100</v>
      </c>
      <c r="N703" s="5" t="n">
        <v>1000</v>
      </c>
      <c r="O703" s="3" t="inlineStr">
        <is>
          <t>관리가 잘된 상가주택. 1층 상가, 2층 주택 전체매매</t>
        </is>
      </c>
      <c r="P703" s="6">
        <f>HYPERLINK("https://fin.land.naver.com/articles/2654658444", "매물Link")</f>
        <v/>
      </c>
      <c r="Q703" s="6">
        <f>HYPERLINK("https://map.naver.com/p/search/연서면 월하리 805", "지도Link")</f>
        <v/>
      </c>
      <c r="R703" s="6">
        <f>HYPERLINK("http://www.eum.go.kr/web/ar/lu/luLandDet.jsp?pnu=3611036021108050000&amp;isNoScr=script&amp;mode=search", "토지이음")</f>
        <v/>
      </c>
      <c r="S703" s="3" t="inlineStr">
        <is>
          <t>세종대장</t>
        </is>
      </c>
      <c r="T703" s="4" t="n">
        <v>1</v>
      </c>
      <c r="U703" s="5" t="n">
        <v>242.8</v>
      </c>
      <c r="V703" s="4" t="n">
        <v>638</v>
      </c>
      <c r="W703" s="3" t="inlineStr">
        <is>
          <t>지정되지않음</t>
        </is>
      </c>
      <c r="X703" s="3" t="inlineStr">
        <is>
          <t>상업기타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소로각지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88-8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5000</v>
      </c>
      <c r="H714" s="4" t="n">
        <v>20</v>
      </c>
      <c r="I714" s="4" t="n">
        <v>49</v>
      </c>
      <c r="J714" s="4" t="n">
        <v>15</v>
      </c>
      <c r="K714" s="5" t="n">
        <v>1.3</v>
      </c>
      <c r="L714" s="4" t="n">
        <v>49</v>
      </c>
      <c r="M714" s="4" t="n">
        <v>15</v>
      </c>
      <c r="N714" s="5" t="n">
        <v>1.3</v>
      </c>
      <c r="O714" s="3" t="inlineStr">
        <is>
          <t>세종시와 경계인 오송읍 동평리임,오송과 세종에 직장인분 편리함.</t>
        </is>
      </c>
      <c r="P714" s="6">
        <f>HYPERLINK("https://fin.land.naver.com/articles/2651114553", "매물Link")</f>
        <v/>
      </c>
      <c r="Q714" s="6">
        <f>HYPERLINK("https://map.naver.com/p/search/오송읍 동평리 88-8", "지도Link")</f>
        <v/>
      </c>
      <c r="R714" s="6">
        <f>HYPERLINK("http://www.eum.go.kr/web/ar/lu/luLandDet.jsp?pnu=4311325029100880008&amp;isNoScr=script&amp;mode=search", "토지이음")</f>
        <v/>
      </c>
      <c r="S714" s="3" t="inlineStr">
        <is>
          <t>꿈드림</t>
        </is>
      </c>
      <c r="T714" s="4" t="n">
        <v>1</v>
      </c>
      <c r="U714" s="5" t="n">
        <v>107.3</v>
      </c>
      <c r="V714" s="4" t="n">
        <v>300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90-9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단독</t>
        </is>
      </c>
      <c r="F715" s="3" t="inlineStr">
        <is>
          <t>월세</t>
        </is>
      </c>
      <c r="G715" s="4" t="n">
        <v>300</v>
      </c>
      <c r="H715" s="4" t="n">
        <v>35</v>
      </c>
      <c r="I715" s="4" t="n">
        <v>36</v>
      </c>
      <c r="J715" s="4" t="n">
        <v>11</v>
      </c>
      <c r="K715" s="5" t="n">
        <v>3.2</v>
      </c>
      <c r="L715" s="4" t="n">
        <v>36</v>
      </c>
      <c r="M715" s="4" t="n">
        <v>11</v>
      </c>
      <c r="N715" s="5" t="n">
        <v>3.2</v>
      </c>
      <c r="O715" s="3" t="inlineStr">
        <is>
          <t>Osong.오송역 가까운 조용한 단독 투룸</t>
        </is>
      </c>
      <c r="P715" s="6">
        <f>HYPERLINK("https://fin.land.naver.com/articles/2654239804", "매물Link")</f>
        <v/>
      </c>
      <c r="Q715" s="6">
        <f>HYPERLINK("https://map.naver.com/p/search/오송읍 동평리 90-9", "지도Link")</f>
        <v/>
      </c>
      <c r="R715" s="6">
        <f>HYPERLINK("http://www.eum.go.kr/web/ar/lu/luLandDet.jsp?pnu=4311325029100900009&amp;isNoScr=script&amp;mode=search", "토지이음")</f>
        <v/>
      </c>
      <c r="S715" s="3" t="inlineStr">
        <is>
          <t>송림(松林) 사무소</t>
        </is>
      </c>
      <c r="T715" s="4" t="n">
        <v>1</v>
      </c>
      <c r="U715" s="5" t="n">
        <v>104.2</v>
      </c>
      <c r="V715" s="4" t="n">
        <v>154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세종큰길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97-5</t>
        </is>
      </c>
      <c r="B717" s="3" t="inlineStr">
        <is>
          <t>계획관리지역</t>
        </is>
      </c>
      <c r="C717" s="3" t="inlineStr">
        <is>
          <t>답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월세</t>
        </is>
      </c>
      <c r="G717" s="4" t="n">
        <v>1000</v>
      </c>
      <c r="H717" s="4" t="n">
        <v>55</v>
      </c>
      <c r="I717" s="4" t="n">
        <v>50</v>
      </c>
      <c r="J717" s="4" t="n">
        <v>15</v>
      </c>
      <c r="K717" s="5" t="n">
        <v>3.7</v>
      </c>
      <c r="L717" s="4" t="n">
        <v>50</v>
      </c>
      <c r="M717" s="4" t="n">
        <v>15</v>
      </c>
      <c r="N717" s="5" t="n">
        <v>3.7</v>
      </c>
      <c r="O717" s="3" t="inlineStr">
        <is>
          <t>애견가능.깨끗한마당있는넓은투베이</t>
        </is>
      </c>
      <c r="P717" s="6">
        <f>HYPERLINK("https://fin.land.naver.com/articles/2654335455", "매물Link")</f>
        <v/>
      </c>
      <c r="Q717" s="6">
        <f>HYPERLINK("https://map.naver.com/p/search/오송읍 동평리 97-5", "지도Link")</f>
        <v/>
      </c>
      <c r="R717" s="6">
        <f>HYPERLINK("http://www.eum.go.kr/web/ar/lu/luLandDet.jsp?pnu=4311325029100970005&amp;isNoScr=script&amp;mode=search", "토지이음")</f>
        <v/>
      </c>
      <c r="S717" s="3" t="inlineStr">
        <is>
          <t>태원</t>
        </is>
      </c>
      <c r="T717" s="4" t="n">
        <v>1</v>
      </c>
      <c r="U717" s="5" t="n">
        <v>107.3</v>
      </c>
      <c r="V717" s="4" t="n">
        <v>132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관리 잘되어 있는 전원주택,</t>
        </is>
      </c>
      <c r="P718" s="6">
        <f>HYPERLINK("https://fin.land.naver.com/articles/2655419381",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테크노힐데스한빛사무소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동평리 99-2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35000</v>
      </c>
      <c r="H719" s="4" t="n">
        <v>0</v>
      </c>
      <c r="I719" s="4" t="n">
        <v>243</v>
      </c>
      <c r="J719" s="4" t="n">
        <v>74</v>
      </c>
      <c r="K719" s="5" t="n">
        <v>473</v>
      </c>
      <c r="L719" s="4" t="n">
        <v>89</v>
      </c>
      <c r="M719" s="4" t="n">
        <v>27</v>
      </c>
      <c r="N719" s="5" t="n">
        <v>1296.3</v>
      </c>
      <c r="O719" s="3" t="inlineStr">
        <is>
          <t>입주 협의 가능하며 관리 잘된 깨끗한 집</t>
        </is>
      </c>
      <c r="P719" s="6">
        <f>HYPERLINK("https://fin.land.naver.com/articles/2652939839", "매물Link")</f>
        <v/>
      </c>
      <c r="Q719" s="6">
        <f>HYPERLINK("https://map.naver.com/p/search/오송읍 동평리 99-2", "지도Link")</f>
        <v/>
      </c>
      <c r="R719" s="6">
        <f>HYPERLINK("http://www.eum.go.kr/web/ar/lu/luLandDet.jsp?pnu=4311325029100990002&amp;isNoScr=script&amp;mode=search", "토지이음")</f>
        <v/>
      </c>
      <c r="S719" s="3" t="inlineStr">
        <is>
          <t>미소114</t>
        </is>
      </c>
      <c r="T719" s="4" t="n">
        <v>1</v>
      </c>
      <c r="U719" s="5" t="n">
        <v>104.2</v>
      </c>
      <c r="V719" s="4" t="n">
        <v>243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세로한면(가)</t>
        </is>
      </c>
    </row>
    <row r="720">
      <c r="A720" s="3" t="inlineStr">
        <is>
          <t>오송읍 만수리 285-31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전원주택</t>
        </is>
      </c>
      <c r="F720" s="3" t="inlineStr">
        <is>
          <t>월세</t>
        </is>
      </c>
      <c r="G720" s="4" t="n">
        <v>500</v>
      </c>
      <c r="H720" s="4" t="n">
        <v>50</v>
      </c>
      <c r="I720" s="4" t="n">
        <v>516</v>
      </c>
      <c r="J720" s="4" t="n">
        <v>156</v>
      </c>
      <c r="K720" s="5" t="n">
        <v>0.3</v>
      </c>
      <c r="L720" s="4" t="n">
        <v>199</v>
      </c>
      <c r="M720" s="4" t="n">
        <v>60</v>
      </c>
      <c r="N720" s="5" t="n">
        <v>0.8</v>
      </c>
      <c r="O720" s="3" t="inlineStr">
        <is>
          <t>위치좋은 주택2층 방크고 깨끗해요 기름보일러사용</t>
        </is>
      </c>
      <c r="P720" s="6">
        <f>HYPERLINK("https://fin.land.naver.com/articles/2654791782", "매물Link")</f>
        <v/>
      </c>
      <c r="Q720" s="6">
        <f>HYPERLINK("https://map.naver.com/p/search/오송읍 만수리 285-31", "지도Link")</f>
        <v/>
      </c>
      <c r="R720" s="6">
        <f>HYPERLINK("http://www.eum.go.kr/web/ar/lu/luLandDet.jsp?pnu=4311325025102850031&amp;isNoScr=script&amp;mode=search", "토지이음")</f>
        <v/>
      </c>
      <c r="S720" s="3" t="inlineStr">
        <is>
          <t>오송아파트퀸</t>
        </is>
      </c>
      <c r="T720" s="4" t="n">
        <v>1</v>
      </c>
      <c r="U720" s="5" t="n">
        <v>118.9</v>
      </c>
      <c r="V720" s="4" t="n">
        <v>516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세로한면(가)</t>
        </is>
      </c>
    </row>
    <row r="721">
      <c r="A721" s="3" t="inlineStr">
        <is>
          <t>오송읍 만수리 286-19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454</v>
      </c>
      <c r="J721" s="4" t="n">
        <v>137</v>
      </c>
      <c r="K721" s="5" t="n">
        <v>510.9</v>
      </c>
      <c r="L721" s="4" t="n">
        <v>182</v>
      </c>
      <c r="M721" s="4" t="n">
        <v>55</v>
      </c>
      <c r="N721" s="5" t="n">
        <v>1272.7</v>
      </c>
      <c r="O721" s="3" t="inlineStr">
        <is>
          <t>마당 있는 단독 주택  튼튼하게 지은 집  급매 처분</t>
        </is>
      </c>
      <c r="P721" s="6">
        <f>HYPERLINK("https://fin.land.naver.com/articles/2651293866", "매물Link")</f>
        <v/>
      </c>
      <c r="Q721" s="6">
        <f>HYPERLINK("https://map.naver.com/p/search/오송읍 만수리 286-19", "지도Link")</f>
        <v/>
      </c>
      <c r="R721" s="6">
        <f>HYPERLINK("http://www.eum.go.kr/web/ar/lu/luLandDet.jsp?pnu=4311325025102860019&amp;isNoScr=script&amp;mode=search", "토지이음")</f>
        <v/>
      </c>
      <c r="S721" s="3" t="inlineStr">
        <is>
          <t>오송퍼스트영웅</t>
        </is>
      </c>
      <c r="T721" s="4" t="n">
        <v>1</v>
      </c>
      <c r="U721" s="5" t="n">
        <v>110.2</v>
      </c>
      <c r="V721" s="4" t="n">
        <v>454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가로장방</t>
        </is>
      </c>
      <c r="AA721" s="3" t="inlineStr">
        <is>
          <t>세로한면(불)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595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40</v>
      </c>
      <c r="I723" s="4" t="n">
        <v>30</v>
      </c>
      <c r="J723" s="4" t="n">
        <v>9</v>
      </c>
      <c r="K723" s="5" t="n">
        <v>4.4</v>
      </c>
      <c r="L723" s="4" t="n">
        <v>27</v>
      </c>
      <c r="M723" s="4" t="n">
        <v>8</v>
      </c>
      <c r="N723" s="5" t="n">
        <v>5</v>
      </c>
      <c r="O723" s="3" t="inlineStr">
        <is>
          <t>즉시입주가능.넓게 빠진 원룸구조.오송역도보가능.직장인이 거주하기에좋음</t>
        </is>
      </c>
      <c r="P723" s="6">
        <f>HYPERLINK("https://fin.land.naver.com/articles/2655922728", "매물Link")</f>
        <v/>
      </c>
      <c r="Q723" s="6">
        <f>HYPERLINK("https://map.naver.com/p/search/오송읍 만수리 595", "지도Link")</f>
        <v/>
      </c>
      <c r="R723" s="6">
        <f>HYPERLINK("http://www.eum.go.kr/web/ar/lu/luLandDet.jsp?pnu=4311325025105950000&amp;isNoScr=script&amp;mode=search", "토지이음")</f>
        <v/>
      </c>
      <c r="S723" s="3" t="inlineStr">
        <is>
          <t>오송호반</t>
        </is>
      </c>
      <c r="T723" s="4" t="n">
        <v>1</v>
      </c>
      <c r="U723" s="5" t="n">
        <v>310.1</v>
      </c>
      <c r="V723" s="4" t="n">
        <v>274.8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중로각지</t>
        </is>
      </c>
    </row>
    <row r="724">
      <c r="A724" s="3" t="inlineStr">
        <is>
          <t>오송읍 만수리 607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31</v>
      </c>
      <c r="I724" s="4" t="n">
        <v>24</v>
      </c>
      <c r="J724" s="4" t="n">
        <v>7</v>
      </c>
      <c r="K724" s="5" t="n">
        <v>4.4</v>
      </c>
      <c r="L724" s="4" t="n">
        <v>24</v>
      </c>
      <c r="M724" s="4" t="n">
        <v>7</v>
      </c>
      <c r="N724" s="5" t="n">
        <v>4.4</v>
      </c>
      <c r="O724" s="3" t="inlineStr">
        <is>
          <t>깔끔 저렴한 원룸,풀옵션</t>
        </is>
      </c>
      <c r="P724" s="6">
        <f>HYPERLINK("https://fin.land.naver.com/articles/2654455896", "매물Link")</f>
        <v/>
      </c>
      <c r="Q724" s="6">
        <f>HYPERLINK("https://map.naver.com/p/search/오송읍 만수리 607", "지도Link")</f>
        <v/>
      </c>
      <c r="R724" s="6">
        <f>HYPERLINK("http://www.eum.go.kr/web/ar/lu/luLandDet.jsp?pnu=4311325025106070000&amp;isNoScr=script&amp;mode=search", "토지이음")</f>
        <v/>
      </c>
      <c r="S724" s="3" t="inlineStr">
        <is>
          <t>오송조은</t>
        </is>
      </c>
      <c r="T724" s="4" t="n">
        <v>1</v>
      </c>
      <c r="U724" s="5" t="n">
        <v>249.9</v>
      </c>
      <c r="V724" s="4" t="n">
        <v>288.1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단독</t>
        </is>
      </c>
      <c r="F727" s="3" t="inlineStr">
        <is>
          <t>월세</t>
        </is>
      </c>
      <c r="G727" s="4" t="n">
        <v>1500</v>
      </c>
      <c r="H727" s="4" t="n">
        <v>90</v>
      </c>
      <c r="I727" s="4" t="n">
        <v>128</v>
      </c>
      <c r="J727" s="4" t="n">
        <v>39</v>
      </c>
      <c r="K727" s="5" t="n">
        <v>2.3</v>
      </c>
      <c r="L727" s="4" t="n">
        <v>100</v>
      </c>
      <c r="M727" s="4" t="n">
        <v>30</v>
      </c>
      <c r="N727" s="5" t="n">
        <v>3</v>
      </c>
      <c r="O727" s="3" t="inlineStr">
        <is>
          <t>쓰리룸 오송역세권으로 인프라좋고 주변편의시설확충 초등학교 공원산책로</t>
        </is>
      </c>
      <c r="P727" s="6">
        <f>HYPERLINK("https://fin.land.naver.com/articles/2652554642",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122</v>
      </c>
      <c r="J730" s="4" t="n">
        <v>37</v>
      </c>
      <c r="K730" s="5" t="n">
        <v>3</v>
      </c>
      <c r="L730" s="4" t="n">
        <v>110</v>
      </c>
      <c r="M730" s="4" t="n">
        <v>33</v>
      </c>
      <c r="N730" s="5" t="n">
        <v>3.3</v>
      </c>
      <c r="O730" s="3" t="inlineStr">
        <is>
          <t>오송역 8번출구 도보로 7분거리,주인세대 월세</t>
        </is>
      </c>
      <c r="P730" s="6">
        <f>HYPERLINK("https://fin.land.naver.com/articles/2654413714",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우리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0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111</v>
      </c>
      <c r="I731" s="4" t="n">
        <v>119</v>
      </c>
      <c r="J731" s="4" t="n">
        <v>36</v>
      </c>
      <c r="K731" s="5" t="n">
        <v>3.1</v>
      </c>
      <c r="L731" s="4" t="n">
        <v>119</v>
      </c>
      <c r="M731" s="4" t="n">
        <v>36</v>
      </c>
      <c r="N731" s="5" t="n">
        <v>3.1</v>
      </c>
      <c r="O731" s="3" t="inlineStr">
        <is>
          <t>nan</t>
        </is>
      </c>
      <c r="P731" s="6">
        <f>HYPERLINK("https://fin.land.naver.com/articles/2653957226",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이룸</t>
        </is>
      </c>
      <c r="T731" s="4" t="n">
        <v>2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먹자골목 상가주택 ,주인세대 거주하며 상가 활용 가능매물</t>
        </is>
      </c>
      <c r="P736" s="6">
        <f>HYPERLINK("https://fin.land.naver.com/articles/2655112762",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오송2단지창조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상가주택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원룸촌 중앙에 위치한 남향 상가주택</t>
        </is>
      </c>
      <c r="P737" s="6">
        <f>HYPERLINK("https://fin.land.naver.com/articles/2650838938",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아시아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649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83000</v>
      </c>
      <c r="H740" s="4" t="n">
        <v>0</v>
      </c>
      <c r="I740" s="4" t="n">
        <v>253</v>
      </c>
      <c r="J740" s="4" t="n">
        <v>77</v>
      </c>
      <c r="K740" s="5" t="n">
        <v>1077.9</v>
      </c>
      <c r="L740" s="4" t="n">
        <v>368</v>
      </c>
      <c r="M740" s="4" t="n">
        <v>111</v>
      </c>
      <c r="N740" s="5" t="n">
        <v>747.7</v>
      </c>
      <c r="O740" s="3" t="inlineStr">
        <is>
          <t>오송역 도보 5분만실 다가구주택, 실투자금 4.6억 수익률 6.6</t>
        </is>
      </c>
      <c r="P740" s="6">
        <f>HYPERLINK("https://fin.land.naver.com/articles/2652592437", "매물Link")</f>
        <v/>
      </c>
      <c r="Q740" s="6">
        <f>HYPERLINK("https://map.naver.com/p/search/오송읍 만수리 649", "지도Link")</f>
        <v/>
      </c>
      <c r="R740" s="6">
        <f>HYPERLINK("http://www.eum.go.kr/web/ar/lu/luLandDet.jsp?pnu=4311325025106490000&amp;isNoScr=script&amp;mode=search", "토지이음")</f>
        <v/>
      </c>
      <c r="S740" s="3" t="inlineStr">
        <is>
          <t>웰스플랜</t>
        </is>
      </c>
      <c r="T740" s="4" t="n">
        <v>1</v>
      </c>
      <c r="U740" s="5" t="n">
        <v>222.7</v>
      </c>
      <c r="V740" s="4" t="n">
        <v>253.1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다가구</t>
        </is>
      </c>
      <c r="F741" s="3" t="inlineStr">
        <is>
          <t>월세</t>
        </is>
      </c>
      <c r="G741" s="4" t="n">
        <v>300</v>
      </c>
      <c r="H741" s="4" t="n">
        <v>45</v>
      </c>
      <c r="I741" s="4" t="n">
        <v>115</v>
      </c>
      <c r="J741" s="4" t="n">
        <v>35</v>
      </c>
      <c r="K741" s="5" t="n">
        <v>1.3</v>
      </c>
      <c r="L741" s="4" t="n">
        <v>24</v>
      </c>
      <c r="M741" s="4" t="n">
        <v>7</v>
      </c>
      <c r="N741" s="5" t="n">
        <v>6.4</v>
      </c>
      <c r="O741" s="3" t="inlineStr">
        <is>
          <t>nan</t>
        </is>
      </c>
      <c r="P741" s="6">
        <f>HYPERLINK("https://fin.land.naver.com/articles/2654602267",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83000</v>
      </c>
      <c r="H742" s="4" t="n">
        <v>0</v>
      </c>
      <c r="I742" s="4" t="n">
        <v>253</v>
      </c>
      <c r="J742" s="4" t="n">
        <v>77</v>
      </c>
      <c r="K742" s="5" t="n">
        <v>1077.9</v>
      </c>
      <c r="L742" s="4" t="n">
        <v>368</v>
      </c>
      <c r="M742" s="4" t="n">
        <v>111</v>
      </c>
      <c r="N742" s="5" t="n">
        <v>747.7</v>
      </c>
      <c r="O742" s="3" t="inlineStr">
        <is>
          <t>오송역 도보 5분만실 다가구주택, 관리 잘된 신축급, 오송3산단인근</t>
        </is>
      </c>
      <c r="P742" s="6">
        <f>HYPERLINK("https://fin.land.naver.com/articles/2654600258",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2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단독</t>
        </is>
      </c>
      <c r="F743" s="3" t="inlineStr">
        <is>
          <t>매매</t>
        </is>
      </c>
      <c r="G743" s="4" t="n">
        <v>67000</v>
      </c>
      <c r="H743" s="4" t="n">
        <v>0</v>
      </c>
      <c r="I743" s="4" t="n">
        <v>249</v>
      </c>
      <c r="J743" s="4" t="n">
        <v>75</v>
      </c>
      <c r="K743" s="5" t="n">
        <v>893.3</v>
      </c>
      <c r="L743" s="4" t="n">
        <v>352</v>
      </c>
      <c r="M743" s="4" t="n">
        <v>106</v>
      </c>
      <c r="N743" s="5" t="n">
        <v>632.1</v>
      </c>
      <c r="O743" s="3" t="inlineStr">
        <is>
          <t>투자하기 좋은 통매매, 오송역, 초.중학교 인접</t>
        </is>
      </c>
      <c r="P743" s="6">
        <f>HYPERLINK("https://fin.land.naver.com/articles/2656242965",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106</v>
      </c>
      <c r="I746" s="4" t="n">
        <v>122</v>
      </c>
      <c r="J746" s="4" t="n">
        <v>37</v>
      </c>
      <c r="K746" s="5" t="n">
        <v>2.9</v>
      </c>
      <c r="L746" s="4" t="n">
        <v>122</v>
      </c>
      <c r="M746" s="4" t="n">
        <v>37</v>
      </c>
      <c r="N746" s="5" t="n">
        <v>2.9</v>
      </c>
      <c r="O746" s="3" t="inlineStr">
        <is>
          <t>준신축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71000</v>
      </c>
      <c r="H747" s="4" t="n">
        <v>0</v>
      </c>
      <c r="I747" s="4" t="n">
        <v>263</v>
      </c>
      <c r="J747" s="4" t="n">
        <v>80</v>
      </c>
      <c r="K747" s="5" t="n">
        <v>887.5</v>
      </c>
      <c r="L747" s="4" t="n">
        <v>369</v>
      </c>
      <c r="M747" s="4" t="n">
        <v>112</v>
      </c>
      <c r="N747" s="5" t="n">
        <v>633.9</v>
      </c>
      <c r="O747" s="3" t="inlineStr">
        <is>
          <t>공실없이 임대완료 및 관리가 잘되어 있는 건물,오송역 초근접 위치</t>
        </is>
      </c>
      <c r="P747" s="6">
        <f>HYPERLINK("https://fin.land.naver.com/articles/2656440374",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오송2단지창조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72000</v>
      </c>
      <c r="H749" s="4" t="n">
        <v>0</v>
      </c>
      <c r="I749" s="4" t="n">
        <v>263</v>
      </c>
      <c r="J749" s="4" t="n">
        <v>80</v>
      </c>
      <c r="K749" s="5" t="n">
        <v>900</v>
      </c>
      <c r="L749" s="4" t="n">
        <v>369</v>
      </c>
      <c r="M749" s="4" t="n">
        <v>112</v>
      </c>
      <c r="N749" s="5" t="n">
        <v>642.9</v>
      </c>
      <c r="O749" s="3" t="inlineStr">
        <is>
          <t>오송1산단 수익률 좋은 다가구</t>
        </is>
      </c>
      <c r="P749" s="6">
        <f>HYPERLINK("https://fin.land.naver.com/articles/2655163999",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31</v>
      </c>
      <c r="I750" s="4" t="n">
        <v>0</v>
      </c>
      <c r="J750" s="4" t="n">
        <v>0</v>
      </c>
      <c r="K750" s="5" t="n">
        <v>0</v>
      </c>
      <c r="L750" s="4" t="n">
        <v>30</v>
      </c>
      <c r="M750" s="4" t="n">
        <v>9</v>
      </c>
      <c r="N750" s="5" t="n">
        <v>3.4</v>
      </c>
      <c r="O750" s="3" t="inlineStr">
        <is>
          <t>즉시입주 가능한 원룸,  반전세로도 가능</t>
        </is>
      </c>
      <c r="P750" s="6">
        <f>HYPERLINK("https://fin.land.naver.com/articles/2655708969",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726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46</v>
      </c>
      <c r="I751" s="4" t="n">
        <v>0</v>
      </c>
      <c r="J751" s="4" t="n">
        <v>0</v>
      </c>
      <c r="K751" s="5" t="n">
        <v>0</v>
      </c>
      <c r="L751" s="4" t="n">
        <v>40</v>
      </c>
      <c r="M751" s="4" t="n">
        <v>12</v>
      </c>
      <c r="N751" s="5" t="n">
        <v>3.8</v>
      </c>
      <c r="O751" s="3" t="inlineStr">
        <is>
          <t>10월중순 입주가능한 투베이</t>
        </is>
      </c>
      <c r="P751" s="6">
        <f>HYPERLINK("https://fin.land.naver.com/articles/2652869194", "매물Link")</f>
        <v/>
      </c>
      <c r="Q751" s="6">
        <f>HYPERLINK("https://map.naver.com/p/search/오송읍 만수리 726", "지도Link")</f>
        <v/>
      </c>
      <c r="R751" s="6">
        <f>HYPERLINK("http://www.eum.go.kr/web/ar/lu/luLandDet.jsp?pnu=4311325025107260000&amp;isNoScr=script&amp;mode=search",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229.4</v>
      </c>
      <c r="V751" s="4" t="n">
        <v>274</v>
      </c>
      <c r="W751" s="3" t="inlineStr">
        <is>
          <t>지정되지않음</t>
        </is>
      </c>
      <c r="X751" s="3" t="inlineStr">
        <is>
          <t>주거기타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732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1000</v>
      </c>
      <c r="H752" s="4" t="n">
        <v>91</v>
      </c>
      <c r="I752" s="4" t="n">
        <v>120</v>
      </c>
      <c r="J752" s="4" t="n">
        <v>36</v>
      </c>
      <c r="K752" s="5" t="n">
        <v>2.5</v>
      </c>
      <c r="L752" s="4" t="n">
        <v>110</v>
      </c>
      <c r="M752" s="4" t="n">
        <v>33</v>
      </c>
      <c r="N752" s="5" t="n">
        <v>2.8</v>
      </c>
      <c r="O752" s="3" t="inlineStr">
        <is>
          <t>거실이 넓은 주인세대, 3층 전부사용</t>
        </is>
      </c>
      <c r="P752" s="6">
        <f>HYPERLINK("https://fin.land.naver.com/articles/2655959563", "매물Link")</f>
        <v/>
      </c>
      <c r="Q752" s="6">
        <f>HYPERLINK("https://map.naver.com/p/search/오송읍 만수리 732", "지도Link")</f>
        <v/>
      </c>
      <c r="R752" s="6">
        <f>HYPERLINK("http://www.eum.go.kr/web/ar/lu/luLandDet.jsp?pnu=4311325025107320000&amp;isNoScr=script&amp;mode=search", "토지이음")</f>
        <v/>
      </c>
      <c r="S752" s="3" t="inlineStr">
        <is>
          <t>오송조은</t>
        </is>
      </c>
      <c r="T752" s="4" t="n">
        <v>1</v>
      </c>
      <c r="U752" s="5" t="n">
        <v>316.4</v>
      </c>
      <c r="V752" s="4" t="n">
        <v>250.2</v>
      </c>
      <c r="W752" s="3" t="inlineStr">
        <is>
          <t>지정되지않음</t>
        </is>
      </c>
      <c r="X752" s="3" t="inlineStr">
        <is>
          <t>주상용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중로각지</t>
        </is>
      </c>
    </row>
    <row r="753">
      <c r="A753" s="3" t="inlineStr">
        <is>
          <t>오송읍 만수리 742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매매</t>
        </is>
      </c>
      <c r="G753" s="4" t="n">
        <v>70000</v>
      </c>
      <c r="H753" s="4" t="n">
        <v>0</v>
      </c>
      <c r="I753" s="4" t="n">
        <v>275</v>
      </c>
      <c r="J753" s="4" t="n">
        <v>83</v>
      </c>
      <c r="K753" s="5" t="n">
        <v>843.4</v>
      </c>
      <c r="L753" s="4" t="n">
        <v>398</v>
      </c>
      <c r="M753" s="4" t="n">
        <v>120</v>
      </c>
      <c r="N753" s="5" t="n">
        <v>583.3</v>
      </c>
      <c r="O753" s="3" t="inlineStr">
        <is>
          <t>nan</t>
        </is>
      </c>
      <c r="P753" s="6">
        <f>HYPERLINK("https://fin.land.naver.com/articles/2651292627", "매물Link")</f>
        <v/>
      </c>
      <c r="Q753" s="6">
        <f>HYPERLINK("https://map.naver.com/p/search/오송읍 만수리 742", "지도Link")</f>
        <v/>
      </c>
      <c r="R753" s="6">
        <f>HYPERLINK("http://www.eum.go.kr/web/ar/lu/luLandDet.jsp?pnu=4311325025107420000&amp;isNoScr=script&amp;mode=search", "토지이음")</f>
        <v/>
      </c>
      <c r="S753" s="3" t="inlineStr">
        <is>
          <t>오송퍼스트영웅</t>
        </is>
      </c>
      <c r="T753" s="4" t="n">
        <v>1</v>
      </c>
      <c r="U753" s="5" t="n">
        <v>225.8</v>
      </c>
      <c r="V753" s="4" t="n">
        <v>275.9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소로한면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70</v>
      </c>
      <c r="I755" s="4" t="n">
        <v>239</v>
      </c>
      <c r="J755" s="4" t="n">
        <v>72</v>
      </c>
      <c r="K755" s="5" t="n">
        <v>1</v>
      </c>
      <c r="L755" s="4" t="n">
        <v>349</v>
      </c>
      <c r="M755" s="4" t="n">
        <v>106</v>
      </c>
      <c r="N755" s="5" t="n">
        <v>0.7</v>
      </c>
      <c r="O755" s="3" t="inlineStr">
        <is>
          <t>nan</t>
        </is>
      </c>
      <c r="P755" s="6">
        <f>HYPERLINK("https://fin.land.naver.com/articles/2653864477",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오송시티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500</v>
      </c>
      <c r="H756" s="4" t="n">
        <v>60</v>
      </c>
      <c r="I756" s="4" t="n">
        <v>0</v>
      </c>
      <c r="J756" s="4" t="n">
        <v>0</v>
      </c>
      <c r="K756" s="5" t="n">
        <v>0</v>
      </c>
      <c r="L756" s="4" t="n">
        <v>39</v>
      </c>
      <c r="M756" s="4" t="n">
        <v>12</v>
      </c>
      <c r="N756" s="5" t="n">
        <v>5</v>
      </c>
      <c r="O756" s="3" t="inlineStr">
        <is>
          <t>넓은 복층형 투베이. 10월 말 이후 협의입주.</t>
        </is>
      </c>
      <c r="P756" s="6">
        <f>HYPERLINK("https://fin.land.naver.com/articles/2655613014",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당근플러스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0</t>
        </is>
      </c>
      <c r="E760" s="3" t="inlineStr">
        <is>
          <t>다가구</t>
        </is>
      </c>
      <c r="F760" s="3" t="inlineStr">
        <is>
          <t>월세</t>
        </is>
      </c>
      <c r="G760" s="4" t="n">
        <v>1000</v>
      </c>
      <c r="H760" s="4" t="n">
        <v>101</v>
      </c>
      <c r="I760" s="4" t="n">
        <v>0</v>
      </c>
      <c r="J760" s="4" t="n">
        <v>0</v>
      </c>
      <c r="K760" s="5" t="n">
        <v>0</v>
      </c>
      <c r="L760" s="4" t="n">
        <v>115</v>
      </c>
      <c r="M760" s="4" t="n">
        <v>35</v>
      </c>
      <c r="N760" s="5" t="n">
        <v>2.9</v>
      </c>
      <c r="O760" s="3" t="inlineStr">
        <is>
          <t>깔끔한 주인세대, 오송역 도보 4분</t>
        </is>
      </c>
      <c r="P760" s="6">
        <f>HYPERLINK("https://fin.land.naver.com/articles/2655875936",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118</v>
      </c>
      <c r="J761" s="4" t="n">
        <v>36</v>
      </c>
      <c r="K761" s="5" t="n">
        <v>2.8</v>
      </c>
      <c r="L761" s="4" t="n">
        <v>115</v>
      </c>
      <c r="M761" s="4" t="n">
        <v>35</v>
      </c>
      <c r="N761" s="5" t="n">
        <v>2.9</v>
      </c>
      <c r="O761" s="3" t="inlineStr">
        <is>
          <t>주인세대,11월22일이후입주가능</t>
        </is>
      </c>
      <c r="P761" s="6">
        <f>HYPERLINK("https://fin.land.naver.com/articles/2655946968",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오송올래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먹자골목 상권 ,상가 메인 상권,공실없는 건물</t>
        </is>
      </c>
      <c r="P762" s="6">
        <f>HYPERLINK("https://fin.land.naver.com/articles/2655111584",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오송2단지창조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오송1산단 입지 좋은곳에 위치한 상가주택 매매</t>
        </is>
      </c>
      <c r="P763" s="6">
        <f>HYPERLINK("https://fin.land.naver.com/articles/2653022828",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오송역 도보 가능, 공원 옆 개방감 좋은 주택, 하자 없는 상가 주택.</t>
        </is>
      </c>
      <c r="P764" s="6">
        <f>HYPERLINK("https://fin.land.naver.com/articles/2653351559",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오송모아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단독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임대수요 많은 수익형 다가구 매물</t>
        </is>
      </c>
      <c r="P766" s="6">
        <f>HYPERLINK("https://fin.land.naver.com/articles/2655711859",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오송역인근 투자하기 좋은 매물</t>
        </is>
      </c>
      <c r="P767" s="6">
        <f>HYPERLINK("https://fin.land.naver.com/articles/2654001774",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오송2단지창조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0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66</v>
      </c>
      <c r="I768" s="4" t="n">
        <v>53</v>
      </c>
      <c r="J768" s="4" t="n">
        <v>16</v>
      </c>
      <c r="K768" s="5" t="n">
        <v>4.1</v>
      </c>
      <c r="L768" s="4" t="n">
        <v>53</v>
      </c>
      <c r="M768" s="4" t="n">
        <v>16</v>
      </c>
      <c r="N768" s="5" t="n">
        <v>4.1</v>
      </c>
      <c r="O768" s="3" t="inlineStr">
        <is>
          <t>뻥뷰, 오송역 도보 5분, 리모델링, 도배한 집</t>
        </is>
      </c>
      <c r="P768" s="6">
        <f>HYPERLINK("https://fin.land.naver.com/articles/2652521980",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오송채움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1</t>
        </is>
      </c>
      <c r="E769" s="3" t="inlineStr">
        <is>
          <t>다가구</t>
        </is>
      </c>
      <c r="F769" s="3" t="inlineStr">
        <is>
          <t>월세</t>
        </is>
      </c>
      <c r="G769" s="4" t="n">
        <v>500</v>
      </c>
      <c r="H769" s="4" t="n">
        <v>67</v>
      </c>
      <c r="I769" s="4" t="n">
        <v>56</v>
      </c>
      <c r="J769" s="4" t="n">
        <v>17</v>
      </c>
      <c r="K769" s="5" t="n">
        <v>3.9</v>
      </c>
      <c r="L769" s="4" t="n">
        <v>56</v>
      </c>
      <c r="M769" s="4" t="n">
        <v>17</v>
      </c>
      <c r="N769" s="5" t="n">
        <v>3.9</v>
      </c>
      <c r="O769" s="3" t="inlineStr">
        <is>
          <t>리모델링 된 투룸.싱크대 욕실 등 깨끗해요.</t>
        </is>
      </c>
      <c r="P769" s="6">
        <f>HYPERLINK("https://fin.land.naver.com/articles/2652027376", "매물Link")</f>
        <v/>
      </c>
      <c r="Q769" s="6">
        <f>HYPERLINK("https://map.naver.com/p/search/오송읍 만수리 770", "지도Link")</f>
        <v/>
      </c>
      <c r="R769" s="6">
        <f>HYPERLINK("http://www.eum.go.kr/web/ar/lu/luLandDet.jsp?pnu=4311325025107700000&amp;isNoScr=script&amp;mode=search",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228.1</v>
      </c>
      <c r="V769" s="4" t="n">
        <v>253.7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777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0</v>
      </c>
      <c r="J770" s="4" t="n">
        <v>0</v>
      </c>
      <c r="K770" s="5" t="n">
        <v>0</v>
      </c>
      <c r="L770" s="4" t="n">
        <v>99</v>
      </c>
      <c r="M770" s="4" t="n">
        <v>30</v>
      </c>
      <c r="N770" s="5" t="n">
        <v>466.7</v>
      </c>
      <c r="O770" s="3" t="inlineStr">
        <is>
          <t>12월초 입주가능,  귀한 다가구 주인세대 전세</t>
        </is>
      </c>
      <c r="P770" s="6">
        <f>HYPERLINK("https://fin.land.naver.com/articles/2653369874", "매물Link")</f>
        <v/>
      </c>
      <c r="Q770" s="6">
        <f>HYPERLINK("https://map.naver.com/p/search/오송읍 만수리 777", "지도Link")</f>
        <v/>
      </c>
      <c r="R770" s="6">
        <f>HYPERLINK("http://www.eum.go.kr/web/ar/lu/luLandDet.jsp?pnu=4311325025107770000&amp;isNoScr=script&amp;mode=search",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316.4</v>
      </c>
      <c r="V770" s="4" t="n">
        <v>280.4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780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300</v>
      </c>
      <c r="H771" s="4" t="n">
        <v>45</v>
      </c>
      <c r="I771" s="4" t="n">
        <v>0</v>
      </c>
      <c r="J771" s="4" t="n">
        <v>0</v>
      </c>
      <c r="K771" s="5" t="n">
        <v>0</v>
      </c>
      <c r="L771" s="4" t="n">
        <v>30</v>
      </c>
      <c r="M771" s="4" t="n">
        <v>9</v>
      </c>
      <c r="N771" s="5" t="n">
        <v>5</v>
      </c>
      <c r="O771" s="3" t="inlineStr">
        <is>
          <t>오송역 가까운 원룸</t>
        </is>
      </c>
      <c r="P771" s="6">
        <f>HYPERLINK("https://fin.land.naver.com/articles/2655162770", "매물Link")</f>
        <v/>
      </c>
      <c r="Q771" s="6">
        <f>HYPERLINK("https://map.naver.com/p/search/오송읍 만수리 780", "지도Link")</f>
        <v/>
      </c>
      <c r="R771" s="6">
        <f>HYPERLINK("http://www.eum.go.kr/web/ar/lu/luLandDet.jsp?pnu=4311325025107800000&amp;isNoScr=script&amp;mode=search",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313.3</v>
      </c>
      <c r="V771" s="4" t="n">
        <v>278.6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784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다가구</t>
        </is>
      </c>
      <c r="F772" s="3" t="inlineStr">
        <is>
          <t>전세</t>
        </is>
      </c>
      <c r="G772" s="4" t="n">
        <v>14000</v>
      </c>
      <c r="H772" s="4" t="n">
        <v>0</v>
      </c>
      <c r="I772" s="4" t="n">
        <v>101</v>
      </c>
      <c r="J772" s="4" t="n">
        <v>31</v>
      </c>
      <c r="K772" s="5" t="n">
        <v>451.6</v>
      </c>
      <c r="L772" s="4" t="n">
        <v>101</v>
      </c>
      <c r="M772" s="4" t="n">
        <v>31</v>
      </c>
      <c r="N772" s="5" t="n">
        <v>451.6</v>
      </c>
      <c r="O772" s="3" t="inlineStr">
        <is>
          <t>리모델링 된 깨끗한 집,베란다 넓어요.1월 중순부터 2월말 사이 입주가능</t>
        </is>
      </c>
      <c r="P772" s="6">
        <f>HYPERLINK("https://fin.land.naver.com/articles/2655941168", "매물Link")</f>
        <v/>
      </c>
      <c r="Q772" s="6">
        <f>HYPERLINK("https://map.naver.com/p/search/오송읍 만수리 784", "지도Link")</f>
        <v/>
      </c>
      <c r="R772" s="6">
        <f>HYPERLINK("http://www.eum.go.kr/web/ar/lu/luLandDet.jsp?pnu=4311325025107840000&amp;isNoScr=script&amp;mode=search", "토지이음")</f>
        <v/>
      </c>
      <c r="S772" s="3" t="inlineStr">
        <is>
          <t>오송채움</t>
        </is>
      </c>
      <c r="T772" s="4" t="n">
        <v>1</v>
      </c>
      <c r="U772" s="5" t="n">
        <v>228.1</v>
      </c>
      <c r="V772" s="4" t="n">
        <v>257.9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인근무융자 다가구주택 매매</t>
        </is>
      </c>
      <c r="P773" s="6">
        <f>HYPERLINK("https://fin.land.naver.com/articles/2651830159",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오송시티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적은 투자금으로 수익형 내집 마련의 기회를 잡으세요</t>
        </is>
      </c>
      <c r="P774" s="6">
        <f>HYPERLINK("https://fin.land.naver.com/articles/2654000666",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오송2단지창조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796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23</v>
      </c>
      <c r="J776" s="4" t="n">
        <v>7</v>
      </c>
      <c r="K776" s="5" t="n">
        <v>5.1</v>
      </c>
      <c r="L776" s="4" t="n">
        <v>23</v>
      </c>
      <c r="M776" s="4" t="n">
        <v>7</v>
      </c>
      <c r="N776" s="5" t="n">
        <v>5.1</v>
      </c>
      <c r="O776" s="3" t="inlineStr">
        <is>
          <t>오송역 초근접 깨끗한 원룸.</t>
        </is>
      </c>
      <c r="P776" s="6">
        <f>HYPERLINK("https://fin.land.naver.com/articles/2656415415", "매물Link")</f>
        <v/>
      </c>
      <c r="Q776" s="6">
        <f>HYPERLINK("https://map.naver.com/p/search/오송읍 만수리 796", "지도Link")</f>
        <v/>
      </c>
      <c r="R776" s="6">
        <f>HYPERLINK("http://www.eum.go.kr/web/ar/lu/luLandDet.jsp?pnu=4311325025107960000&amp;isNoScr=script&amp;mode=search",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299.6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801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0</v>
      </c>
      <c r="J777" s="4" t="n">
        <v>0</v>
      </c>
      <c r="K777" s="5" t="n">
        <v>0</v>
      </c>
      <c r="L777" s="4" t="n">
        <v>23</v>
      </c>
      <c r="M777" s="4" t="n">
        <v>7</v>
      </c>
      <c r="N777" s="5" t="n">
        <v>5.1</v>
      </c>
      <c r="O777" s="3" t="inlineStr">
        <is>
          <t>오송역 도보 4분, 구조 좋음</t>
        </is>
      </c>
      <c r="P777" s="6">
        <f>HYPERLINK("https://fin.land.naver.com/articles/2656239076", "매물Link")</f>
        <v/>
      </c>
      <c r="Q777" s="6">
        <f>HYPERLINK("https://map.naver.com/p/search/오송읍 만수리 801", "지도Link")</f>
        <v/>
      </c>
      <c r="R777" s="6">
        <f>HYPERLINK("http://www.eum.go.kr/web/ar/lu/luLandDet.jsp?pnu=4311325025108010000&amp;isNoScr=script&amp;mode=search",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241.8</v>
      </c>
      <c r="V777" s="4" t="n">
        <v>274.1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소로각지</t>
        </is>
      </c>
    </row>
    <row r="778">
      <c r="A778" s="3" t="inlineStr">
        <is>
          <t>오송읍 만수리 804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20</v>
      </c>
      <c r="M778" s="4" t="n">
        <v>6</v>
      </c>
      <c r="N778" s="5" t="n">
        <v>6</v>
      </c>
      <c r="O778" s="3" t="inlineStr">
        <is>
          <t>오송역근처 원룸, 9월입주가능</t>
        </is>
      </c>
      <c r="P778" s="6">
        <f>HYPERLINK("https://fin.land.naver.com/articles/2651213651", "매물Link")</f>
        <v/>
      </c>
      <c r="Q778" s="6">
        <f>HYPERLINK("https://map.naver.com/p/search/오송읍 만수리 804", "지도Link")</f>
        <v/>
      </c>
      <c r="R778" s="6">
        <f>HYPERLINK("http://www.eum.go.kr/web/ar/lu/luLandDet.jsp?pnu=4311325025108040000&amp;isNoScr=script&amp;mode=search",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229.4</v>
      </c>
      <c r="V778" s="4" t="n">
        <v>271.6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813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다가구</t>
        </is>
      </c>
      <c r="F779" s="3" t="inlineStr">
        <is>
          <t>전세</t>
        </is>
      </c>
      <c r="G779" s="4" t="n">
        <v>13000</v>
      </c>
      <c r="H779" s="4" t="n">
        <v>0</v>
      </c>
      <c r="I779" s="4" t="n">
        <v>275</v>
      </c>
      <c r="J779" s="4" t="n">
        <v>83</v>
      </c>
      <c r="K779" s="5" t="n">
        <v>156.6</v>
      </c>
      <c r="L779" s="4" t="n">
        <v>412</v>
      </c>
      <c r="M779" s="4" t="n">
        <v>125</v>
      </c>
      <c r="N779" s="5" t="n">
        <v>104</v>
      </c>
      <c r="O779" s="3" t="inlineStr">
        <is>
          <t>nan</t>
        </is>
      </c>
      <c r="P779" s="6">
        <f>HYPERLINK("https://fin.land.naver.com/articles/2655363732", "매물Link")</f>
        <v/>
      </c>
      <c r="Q779" s="6">
        <f>HYPERLINK("https://map.naver.com/p/search/오송읍 만수리 813", "지도Link")</f>
        <v/>
      </c>
      <c r="R779" s="6">
        <f>HYPERLINK("http://www.eum.go.kr/web/ar/lu/luLandDet.jsp?pnu=4311325025108130000&amp;isNoScr=script&amp;mode=search", "토지이음")</f>
        <v/>
      </c>
      <c r="S779" s="3" t="inlineStr">
        <is>
          <t>오송시티</t>
        </is>
      </c>
      <c r="T779" s="4" t="n">
        <v>1</v>
      </c>
      <c r="U779" s="5" t="n">
        <v>225.8</v>
      </c>
      <c r="V779" s="4" t="n">
        <v>275.8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다가구</t>
        </is>
      </c>
      <c r="F780" s="3" t="inlineStr">
        <is>
          <t>전세</t>
        </is>
      </c>
      <c r="G780" s="4" t="n">
        <v>11000</v>
      </c>
      <c r="H780" s="4" t="n">
        <v>0</v>
      </c>
      <c r="I780" s="4" t="n">
        <v>40</v>
      </c>
      <c r="J780" s="4" t="n">
        <v>12</v>
      </c>
      <c r="K780" s="5" t="n">
        <v>916.7</v>
      </c>
      <c r="L780" s="4" t="n">
        <v>40</v>
      </c>
      <c r="M780" s="4" t="n">
        <v>12</v>
      </c>
      <c r="N780" s="5" t="n">
        <v>916.7</v>
      </c>
      <c r="O780" s="3" t="inlineStr">
        <is>
          <t>버팀목 가능한 투룸.즉시입주.</t>
        </is>
      </c>
      <c r="P780" s="6">
        <f>HYPERLINK("https://fin.land.naver.com/articles/2654202704",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단독</t>
        </is>
      </c>
      <c r="F781" s="3" t="inlineStr">
        <is>
          <t>매매</t>
        </is>
      </c>
      <c r="G781" s="4" t="n">
        <v>70000</v>
      </c>
      <c r="H781" s="4" t="n">
        <v>0</v>
      </c>
      <c r="I781" s="4" t="n">
        <v>259</v>
      </c>
      <c r="J781" s="4" t="n">
        <v>78</v>
      </c>
      <c r="K781" s="5" t="n">
        <v>897.4</v>
      </c>
      <c r="L781" s="4" t="n">
        <v>365</v>
      </c>
      <c r="M781" s="4" t="n">
        <v>110</v>
      </c>
      <c r="N781" s="5" t="n">
        <v>636.4</v>
      </c>
      <c r="O781" s="3" t="inlineStr">
        <is>
          <t>수익률 좋은 깔끔한 집, 오송역 아주 가까워 위치 좋아요</t>
        </is>
      </c>
      <c r="P781" s="6">
        <f>HYPERLINK("https://fin.land.naver.com/articles/2653992953",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3000</v>
      </c>
      <c r="H782" s="4" t="n">
        <v>51</v>
      </c>
      <c r="I782" s="4" t="n">
        <v>80</v>
      </c>
      <c r="J782" s="4" t="n">
        <v>24</v>
      </c>
      <c r="K782" s="5" t="n">
        <v>2.1</v>
      </c>
      <c r="L782" s="4" t="n">
        <v>80</v>
      </c>
      <c r="M782" s="4" t="n">
        <v>24</v>
      </c>
      <c r="N782" s="5" t="n">
        <v>2.1</v>
      </c>
      <c r="O782" s="3" t="inlineStr">
        <is>
          <t>주인세대 추룸, 화장실 2개</t>
        </is>
      </c>
      <c r="P782" s="6">
        <f>HYPERLINK("https://fin.land.naver.com/articles/2651355737",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오송조은무소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825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일반원룸</t>
        </is>
      </c>
      <c r="F783" s="3" t="inlineStr">
        <is>
          <t>전세</t>
        </is>
      </c>
      <c r="G783" s="4" t="n">
        <v>5000</v>
      </c>
      <c r="H783" s="4" t="n">
        <v>0</v>
      </c>
      <c r="I783" s="4" t="n">
        <v>26</v>
      </c>
      <c r="J783" s="4" t="n">
        <v>8</v>
      </c>
      <c r="K783" s="5" t="n">
        <v>625</v>
      </c>
      <c r="L783" s="4" t="n">
        <v>26</v>
      </c>
      <c r="M783" s="4" t="n">
        <v>8</v>
      </c>
      <c r="N783" s="5" t="n">
        <v>625</v>
      </c>
      <c r="O783" s="3" t="inlineStr">
        <is>
          <t>귀한 전세 원룸.즉시입주가능.근저당x</t>
        </is>
      </c>
      <c r="P783" s="6">
        <f>HYPERLINK("https://fin.land.naver.com/articles/2654274209", "매물Link")</f>
        <v/>
      </c>
      <c r="Q783" s="6">
        <f>HYPERLINK("https://map.naver.com/p/search/오송읍 만수리 825", "지도Link")</f>
        <v/>
      </c>
      <c r="R783" s="6">
        <f>HYPERLINK("http://www.eum.go.kr/web/ar/lu/luLandDet.jsp?pnu=4311325025108250000&amp;isNoScr=script&amp;mode=search",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228.1</v>
      </c>
      <c r="V783" s="4" t="n">
        <v>270.7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834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다가구</t>
        </is>
      </c>
      <c r="F785" s="3" t="inlineStr">
        <is>
          <t>월세</t>
        </is>
      </c>
      <c r="G785" s="4" t="n">
        <v>500</v>
      </c>
      <c r="H785" s="4" t="n">
        <v>61</v>
      </c>
      <c r="I785" s="4" t="n">
        <v>0</v>
      </c>
      <c r="J785" s="4" t="n">
        <v>0</v>
      </c>
      <c r="K785" s="5" t="n">
        <v>0</v>
      </c>
      <c r="L785" s="4" t="n">
        <v>52</v>
      </c>
      <c r="M785" s="4" t="n">
        <v>16</v>
      </c>
      <c r="N785" s="5" t="n">
        <v>3.8</v>
      </c>
      <c r="O785" s="3" t="inlineStr">
        <is>
          <t>오송역도보4분, 깔끔한방, 막혀있지않은 뷰</t>
        </is>
      </c>
      <c r="P785" s="6">
        <f>HYPERLINK("https://fin.land.naver.com/articles/2653389705", "매물Link")</f>
        <v/>
      </c>
      <c r="Q785" s="6">
        <f>HYPERLINK("https://map.naver.com/p/search/오송읍 만수리 834", "지도Link")</f>
        <v/>
      </c>
      <c r="R785" s="6">
        <f>HYPERLINK("http://www.eum.go.kr/web/ar/lu/luLandDet.jsp?pnu=4311325025108340000&amp;isNoScr=script&amp;mode=search", "토지이음")</f>
        <v/>
      </c>
      <c r="S785" s="3" t="inlineStr">
        <is>
          <t>오송채움</t>
        </is>
      </c>
      <c r="T785" s="4" t="n">
        <v>1</v>
      </c>
      <c r="U785" s="5" t="n">
        <v>225.8</v>
      </c>
      <c r="V785" s="4" t="n">
        <v>260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836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1000</v>
      </c>
      <c r="H786" s="4" t="n">
        <v>35</v>
      </c>
      <c r="I786" s="4" t="n">
        <v>0</v>
      </c>
      <c r="J786" s="4" t="n">
        <v>0</v>
      </c>
      <c r="K786" s="5" t="n">
        <v>0</v>
      </c>
      <c r="L786" s="4" t="n">
        <v>30</v>
      </c>
      <c r="M786" s="4" t="n">
        <v>9</v>
      </c>
      <c r="N786" s="5" t="n">
        <v>3.9</v>
      </c>
      <c r="O786" s="3" t="inlineStr">
        <is>
          <t>10월 중순 입주가능한 원룸</t>
        </is>
      </c>
      <c r="P786" s="6">
        <f>HYPERLINK("https://fin.land.naver.com/articles/2653483001", "매물Link")</f>
        <v/>
      </c>
      <c r="Q786" s="6">
        <f>HYPERLINK("https://map.naver.com/p/search/오송읍 만수리 836", "지도Link")</f>
        <v/>
      </c>
      <c r="R786" s="6">
        <f>HYPERLINK("http://www.eum.go.kr/web/ar/lu/luLandDet.jsp?pnu=4311325025108360000&amp;isNoScr=script&amp;mode=search",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225.8</v>
      </c>
      <c r="V786" s="4" t="n">
        <v>254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다가구</t>
        </is>
      </c>
      <c r="F787" s="3" t="inlineStr">
        <is>
          <t>월세</t>
        </is>
      </c>
      <c r="G787" s="4" t="n">
        <v>300</v>
      </c>
      <c r="H787" s="4" t="n">
        <v>55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4.6</v>
      </c>
      <c r="O787" s="3" t="inlineStr">
        <is>
          <t>깔끔한 투베이</t>
        </is>
      </c>
      <c r="P787" s="6">
        <f>HYPERLINK("https://fin.land.naver.com/articles/2651355089", "매물Link")</f>
        <v/>
      </c>
      <c r="Q787" s="6">
        <f>HYPERLINK("https://map.naver.com/p/search/오송읍 만수리 836", "지도Link")</f>
        <v/>
      </c>
      <c r="R787" s="6">
        <f>HYPERLINK("http://www.eum.go.kr/web/ar/lu/luLandDet.jsp?pnu=4311325025108360000&amp;isNoScr=script&amp;mode=search",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225.8</v>
      </c>
      <c r="V787" s="4" t="n">
        <v>254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843</t>
        </is>
      </c>
      <c r="B788" s="3" t="inlineStr">
        <is>
          <t>준주거지역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기타</t>
        </is>
      </c>
      <c r="F788" s="3" t="inlineStr">
        <is>
          <t>단기임대</t>
        </is>
      </c>
      <c r="G788" s="4" t="n">
        <v>100</v>
      </c>
      <c r="H788" s="4" t="n">
        <v>40</v>
      </c>
      <c r="I788" s="4" t="n">
        <v>19</v>
      </c>
      <c r="J788" s="4" t="n">
        <v>6</v>
      </c>
      <c r="K788" s="5" t="n">
        <v>16.7</v>
      </c>
      <c r="L788" s="4" t="n">
        <v>19</v>
      </c>
      <c r="M788" s="4" t="n">
        <v>6</v>
      </c>
      <c r="N788" s="5" t="n">
        <v>16.7</v>
      </c>
      <c r="O788" s="3" t="inlineStr">
        <is>
          <t>단기가능한 즉시입주 원룸.</t>
        </is>
      </c>
      <c r="P788" s="6">
        <f>HYPERLINK("https://fin.land.naver.com/articles/2652031342", "매물Link")</f>
        <v/>
      </c>
      <c r="Q788" s="6">
        <f>HYPERLINK("https://map.naver.com/p/search/오송읍 만수리 843", "지도Link")</f>
        <v/>
      </c>
      <c r="R788" s="6">
        <f>HYPERLINK("http://www.eum.go.kr/web/ar/lu/luLandDet.jsp?pnu=4311325025108430000&amp;isNoScr=script&amp;mode=search",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462.1</v>
      </c>
      <c r="V788" s="4" t="n">
        <v>328</v>
      </c>
      <c r="W788" s="3" t="inlineStr">
        <is>
          <t>지정되지않음</t>
        </is>
      </c>
      <c r="X788" s="3" t="inlineStr">
        <is>
          <t>상업용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광대소각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100</v>
      </c>
      <c r="H789" s="4" t="n">
        <v>36</v>
      </c>
      <c r="I789" s="4" t="n">
        <v>0</v>
      </c>
      <c r="J789" s="4" t="n">
        <v>0</v>
      </c>
      <c r="K789" s="5" t="n">
        <v>0</v>
      </c>
      <c r="L789" s="4" t="n">
        <v>17</v>
      </c>
      <c r="M789" s="4" t="n">
        <v>5</v>
      </c>
      <c r="N789" s="5" t="n">
        <v>20</v>
      </c>
      <c r="O789" s="3" t="inlineStr">
        <is>
          <t>6개월 단기 임대,1개월부터 가능</t>
        </is>
      </c>
      <c r="P789" s="6">
        <f>HYPERLINK("https://fin.land.naver.com/articles/2656210209",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프로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852</t>
        </is>
      </c>
      <c r="B790" s="3" t="inlineStr">
        <is>
          <t>일반상업지역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30</v>
      </c>
      <c r="H790" s="4" t="n">
        <v>50</v>
      </c>
      <c r="I790" s="4" t="n">
        <v>0</v>
      </c>
      <c r="J790" s="4" t="n">
        <v>0</v>
      </c>
      <c r="K790" s="5" t="n">
        <v>0</v>
      </c>
      <c r="L790" s="4" t="n">
        <v>17</v>
      </c>
      <c r="M790" s="4" t="n">
        <v>5</v>
      </c>
      <c r="N790" s="5" t="n">
        <v>10</v>
      </c>
      <c r="O790" s="3" t="inlineStr">
        <is>
          <t>1개월부터 가능한 단기 원룸</t>
        </is>
      </c>
      <c r="P790" s="6">
        <f>HYPERLINK("https://fin.land.naver.com/articles/2656211535", "매물Link")</f>
        <v/>
      </c>
      <c r="Q790" s="6">
        <f>HYPERLINK("https://map.naver.com/p/search/오송읍 만수리 852", "지도Link")</f>
        <v/>
      </c>
      <c r="R790" s="6">
        <f>HYPERLINK("http://www.eum.go.kr/web/ar/lu/luLandDet.jsp?pnu=4311325025108520000&amp;isNoScr=script&amp;mode=search",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501.8</v>
      </c>
      <c r="V790" s="4" t="n">
        <v>511.3</v>
      </c>
      <c r="W790" s="3" t="inlineStr">
        <is>
          <t>지정되지않음</t>
        </is>
      </c>
      <c r="X790" s="3" t="inlineStr">
        <is>
          <t>상업기타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중로한면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6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60</v>
      </c>
      <c r="H791" s="4" t="n">
        <v>50</v>
      </c>
      <c r="I791" s="4" t="n">
        <v>18</v>
      </c>
      <c r="J791" s="4" t="n">
        <v>5</v>
      </c>
      <c r="K791" s="5" t="n">
        <v>12</v>
      </c>
      <c r="L791" s="4" t="n">
        <v>18</v>
      </c>
      <c r="M791" s="4" t="n">
        <v>5</v>
      </c>
      <c r="N791" s="5" t="n">
        <v>12</v>
      </c>
      <c r="O791" s="3" t="inlineStr">
        <is>
          <t>관리비 없는 1달부터 가능한 단기원룸 전기세 별도</t>
        </is>
      </c>
      <c r="P791" s="6">
        <f>HYPERLINK("https://fin.land.naver.com/articles/2656071706",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오송유진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단기임대</t>
        </is>
      </c>
      <c r="G792" s="4" t="n">
        <v>30</v>
      </c>
      <c r="H792" s="4" t="n">
        <v>41</v>
      </c>
      <c r="I792" s="4" t="n">
        <v>16</v>
      </c>
      <c r="J792" s="4" t="n">
        <v>5</v>
      </c>
      <c r="K792" s="5" t="n">
        <v>6</v>
      </c>
      <c r="L792" s="4" t="n">
        <v>16</v>
      </c>
      <c r="M792" s="4" t="n">
        <v>5</v>
      </c>
      <c r="N792" s="5" t="n">
        <v>6</v>
      </c>
      <c r="O792" s="3" t="inlineStr">
        <is>
          <t>저렴한 단기임대.오송역 맞은편.도보3분.즉시입주가능.</t>
        </is>
      </c>
      <c r="P792" s="6">
        <f>HYPERLINK("https://fin.land.naver.com/articles/2655059084",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이룸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941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매매</t>
        </is>
      </c>
      <c r="G793" s="4" t="n">
        <v>185000</v>
      </c>
      <c r="H793" s="4" t="n">
        <v>0</v>
      </c>
      <c r="I793" s="4" t="n">
        <v>273</v>
      </c>
      <c r="J793" s="4" t="n">
        <v>83</v>
      </c>
      <c r="K793" s="5" t="n">
        <v>2228.9</v>
      </c>
      <c r="L793" s="4" t="n">
        <v>484</v>
      </c>
      <c r="M793" s="4" t="n">
        <v>146</v>
      </c>
      <c r="N793" s="5" t="n">
        <v>1267.1</v>
      </c>
      <c r="O793" s="3" t="inlineStr">
        <is>
          <t>오스코 및 오송역 인근 메인 도로변 신축 상가주택 매매</t>
        </is>
      </c>
      <c r="P793" s="6">
        <f>HYPERLINK("https://fin.land.naver.com/articles/2653824582", "매물Link")</f>
        <v/>
      </c>
      <c r="Q793" s="6">
        <f>HYPERLINK("https://map.naver.com/p/search/오송읍 만수리 941", "지도Link")</f>
        <v/>
      </c>
      <c r="R793" s="6">
        <f>HYPERLINK("http://www.eum.go.kr/web/ar/lu/luLandDet.jsp?pnu=4311325025109410000&amp;isNoScr=script&amp;mode=search", "토지이음")</f>
        <v/>
      </c>
      <c r="S793" s="3" t="inlineStr">
        <is>
          <t>광장</t>
        </is>
      </c>
      <c r="T793" s="4" t="n">
        <v>1</v>
      </c>
      <c r="U793" s="5" t="n">
        <v>207.2</v>
      </c>
      <c r="V793" s="4" t="n">
        <v>273.1</v>
      </c>
      <c r="W793" s="3" t="inlineStr">
        <is>
          <t>자연녹지지역</t>
        </is>
      </c>
      <c r="X793" s="3" t="inlineStr">
        <is>
          <t>주상나지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1019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90</v>
      </c>
      <c r="I794" s="4" t="n">
        <v>0</v>
      </c>
      <c r="J794" s="4" t="n">
        <v>0</v>
      </c>
      <c r="K794" s="5" t="n">
        <v>0</v>
      </c>
      <c r="L794" s="4" t="n">
        <v>59</v>
      </c>
      <c r="M794" s="4" t="n">
        <v>18</v>
      </c>
      <c r="N794" s="5" t="n">
        <v>5</v>
      </c>
      <c r="O794" s="3" t="inlineStr">
        <is>
          <t>오송2단지 쓰리룸 건조기, 시스템 에어컨 풀옵션 쓰리룸</t>
        </is>
      </c>
      <c r="P794" s="6">
        <f>HYPERLINK("https://fin.land.naver.com/articles/2651708125", "매물Link")</f>
        <v/>
      </c>
      <c r="Q794" s="6">
        <f>HYPERLINK("https://map.naver.com/p/search/오송읍 봉산리 1019", "지도Link")</f>
        <v/>
      </c>
      <c r="R794" s="6">
        <f>HYPERLINK("http://www.eum.go.kr/web/ar/lu/luLandDet.jsp?pnu=4311325031110190000&amp;isNoScr=script&amp;mode=search", "토지이음")</f>
        <v/>
      </c>
      <c r="S794" s="3" t="inlineStr">
        <is>
          <t>스케치</t>
        </is>
      </c>
      <c r="T794" s="4" t="n">
        <v>1</v>
      </c>
      <c r="U794" s="5" t="n">
        <v>342.1</v>
      </c>
      <c r="V794" s="4" t="n">
        <v>265.6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71</v>
      </c>
      <c r="I795" s="4" t="n">
        <v>70</v>
      </c>
      <c r="J795" s="4" t="n">
        <v>21</v>
      </c>
      <c r="K795" s="5" t="n">
        <v>3.4</v>
      </c>
      <c r="L795" s="4" t="n">
        <v>42</v>
      </c>
      <c r="M795" s="4" t="n">
        <v>13</v>
      </c>
      <c r="N795" s="5" t="n">
        <v>5.5</v>
      </c>
      <c r="O795" s="3" t="inlineStr">
        <is>
          <t>즉시 입주 가능,큰길가 밝은 투룸</t>
        </is>
      </c>
      <c r="P795" s="6">
        <f>HYPERLINK("https://fin.land.naver.com/articles/2655969945",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상가주택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111</v>
      </c>
      <c r="J797" s="4" t="n">
        <v>34</v>
      </c>
      <c r="K797" s="5" t="n">
        <v>588.2</v>
      </c>
      <c r="L797" s="4" t="n">
        <v>101</v>
      </c>
      <c r="M797" s="4" t="n">
        <v>31</v>
      </c>
      <c r="N797" s="5" t="n">
        <v>645.2</v>
      </c>
      <c r="O797" s="3" t="inlineStr">
        <is>
          <t>주인세대,시스템에어컨,실링팬,붙박이장,복층옥상테라스</t>
        </is>
      </c>
      <c r="P797" s="6">
        <f>HYPERLINK("https://fin.land.naver.com/articles/2654915718",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오송유나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다가구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0</v>
      </c>
      <c r="J798" s="4" t="n">
        <v>0</v>
      </c>
      <c r="K798" s="5" t="n">
        <v>0</v>
      </c>
      <c r="L798" s="4" t="n">
        <v>101</v>
      </c>
      <c r="M798" s="4" t="n">
        <v>31</v>
      </c>
      <c r="N798" s="5" t="n">
        <v>645.2</v>
      </c>
      <c r="O798" s="3" t="inlineStr">
        <is>
          <t>시스템에어컨,중문,개인테라스까지 주인세대 귀한 전세,신혼부부 추천</t>
        </is>
      </c>
      <c r="P798" s="6">
        <f>HYPERLINK("https://fin.land.naver.com/articles/2656100091",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오송바이오창조</t>
        </is>
      </c>
      <c r="T798" s="4" t="n">
        <v>2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102</v>
      </c>
      <c r="J799" s="4" t="n">
        <v>31</v>
      </c>
      <c r="K799" s="5" t="n">
        <v>645.2</v>
      </c>
      <c r="L799" s="4" t="n">
        <v>102</v>
      </c>
      <c r="M799" s="4" t="n">
        <v>31</v>
      </c>
      <c r="N799" s="5" t="n">
        <v>645.2</v>
      </c>
      <c r="O799" s="3" t="inlineStr">
        <is>
          <t>26년 12월말 입주 가능한 예쁜 우드톤 주인세대 복층 전세</t>
        </is>
      </c>
      <c r="P799" s="6">
        <f>HYPERLINK("https://fin.land.naver.com/articles/2655155268",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오송미소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단독</t>
        </is>
      </c>
      <c r="F800" s="3" t="inlineStr">
        <is>
          <t>월세</t>
        </is>
      </c>
      <c r="G800" s="4" t="n">
        <v>1000</v>
      </c>
      <c r="H800" s="4" t="n">
        <v>64</v>
      </c>
      <c r="I800" s="4" t="n">
        <v>0</v>
      </c>
      <c r="J800" s="4" t="n">
        <v>0</v>
      </c>
      <c r="K800" s="5" t="n">
        <v>0</v>
      </c>
      <c r="L800" s="4" t="n">
        <v>32</v>
      </c>
      <c r="M800" s="4" t="n">
        <v>10</v>
      </c>
      <c r="N800" s="5" t="n">
        <v>6.4</v>
      </c>
      <c r="O800" s="3" t="inlineStr">
        <is>
          <t>10월 둘쨋주 이후 입주가능한 투베이</t>
        </is>
      </c>
      <c r="P800" s="6">
        <f>HYPERLINK("https://fin.land.naver.com/articles/2651045087",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60</v>
      </c>
      <c r="I801" s="4" t="n">
        <v>32</v>
      </c>
      <c r="J801" s="4" t="n">
        <v>10</v>
      </c>
      <c r="K801" s="5" t="n">
        <v>6</v>
      </c>
      <c r="L801" s="4" t="n">
        <v>32</v>
      </c>
      <c r="M801" s="4" t="n">
        <v>10</v>
      </c>
      <c r="N801" s="5" t="n">
        <v>6</v>
      </c>
      <c r="O801" s="3" t="inlineStr">
        <is>
          <t>신축 투베이.  10월 초,중순 입주가능. 큰 붙박이장 있음.</t>
        </is>
      </c>
      <c r="P801" s="6">
        <f>HYPERLINK("https://fin.land.naver.com/articles/2652777461",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당근플러스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1000</v>
      </c>
      <c r="H802" s="4" t="n">
        <v>62</v>
      </c>
      <c r="I802" s="4" t="n">
        <v>0</v>
      </c>
      <c r="J802" s="4" t="n">
        <v>0</v>
      </c>
      <c r="K802" s="5" t="n">
        <v>0</v>
      </c>
      <c r="L802" s="4" t="n">
        <v>32</v>
      </c>
      <c r="M802" s="4" t="n">
        <v>10</v>
      </c>
      <c r="N802" s="5" t="n">
        <v>6.2</v>
      </c>
      <c r="O802" s="3" t="inlineStr">
        <is>
          <t>즉시입주 필로티주차 깔끔하게 관리 잘되는 건물,신축 투베이 월세</t>
        </is>
      </c>
      <c r="P802" s="6">
        <f>HYPERLINK("https://fin.land.naver.com/articles/2654922965",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상가주택</t>
        </is>
      </c>
      <c r="F804" s="3" t="inlineStr">
        <is>
          <t>월세</t>
        </is>
      </c>
      <c r="G804" s="4" t="n">
        <v>1000</v>
      </c>
      <c r="H804" s="4" t="n">
        <v>61</v>
      </c>
      <c r="I804" s="4" t="n">
        <v>26</v>
      </c>
      <c r="J804" s="4" t="n">
        <v>8</v>
      </c>
      <c r="K804" s="5" t="n">
        <v>7.6</v>
      </c>
      <c r="L804" s="4" t="n">
        <v>26</v>
      </c>
      <c r="M804" s="4" t="n">
        <v>8</v>
      </c>
      <c r="N804" s="5" t="n">
        <v>7.6</v>
      </c>
      <c r="O804" s="3" t="inlineStr">
        <is>
          <t>오송입지조건짱,신축투베이,즉시입주가능</t>
        </is>
      </c>
      <c r="P804" s="6">
        <f>HYPERLINK("https://fin.land.naver.com/articles/2651088701", "매물Link")</f>
        <v/>
      </c>
      <c r="Q804" s="6">
        <f>HYPERLINK("https://map.naver.com/p/search/오송읍 봉산리 1040", "지도Link")</f>
        <v/>
      </c>
      <c r="R804" s="6">
        <f>HYPERLINK("http://www.eum.go.kr/web/ar/lu/luLandDet.jsp?pnu=4311325031110400000&amp;isNoScr=script&amp;mode=search", "토지이음")</f>
        <v/>
      </c>
      <c r="S804" s="3" t="inlineStr">
        <is>
          <t>오송올래</t>
        </is>
      </c>
      <c r="T804" s="4" t="n">
        <v>1</v>
      </c>
      <c r="U804" s="5" t="n">
        <v>216</v>
      </c>
      <c r="V804" s="4" t="n">
        <v>273.8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소로각지</t>
        </is>
      </c>
    </row>
    <row r="805">
      <c r="A805" s="3" t="inlineStr">
        <is>
          <t>오송읍 봉산리 1047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300</v>
      </c>
      <c r="H805" s="4" t="n">
        <v>51</v>
      </c>
      <c r="I805" s="4" t="n">
        <v>48</v>
      </c>
      <c r="J805" s="4" t="n">
        <v>15</v>
      </c>
      <c r="K805" s="5" t="n">
        <v>3.4</v>
      </c>
      <c r="L805" s="4" t="n">
        <v>23</v>
      </c>
      <c r="M805" s="4" t="n">
        <v>7</v>
      </c>
      <c r="N805" s="5" t="n">
        <v>7.3</v>
      </c>
      <c r="O805" s="3" t="inlineStr">
        <is>
          <t>편의시설 편리, 넓은 붙박이장 옵션의 원룸</t>
        </is>
      </c>
      <c r="P805" s="6">
        <f>HYPERLINK("https://fin.land.naver.com/articles/2655105992", "매물Link")</f>
        <v/>
      </c>
      <c r="Q805" s="6">
        <f>HYPERLINK("https://map.naver.com/p/search/오송읍 봉산리 1047", "지도Link")</f>
        <v/>
      </c>
      <c r="R805" s="6">
        <f>HYPERLINK("http://www.eum.go.kr/web/ar/lu/luLandDet.jsp?pnu=4311325031110470000&amp;isNoScr=script&amp;mode=search",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204</v>
      </c>
      <c r="V805" s="4" t="n">
        <v>267.5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1049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138</v>
      </c>
      <c r="J806" s="4" t="n">
        <v>42</v>
      </c>
      <c r="K806" s="5" t="n">
        <v>1.1</v>
      </c>
      <c r="L806" s="4" t="n">
        <v>20</v>
      </c>
      <c r="M806" s="4" t="n">
        <v>6</v>
      </c>
      <c r="N806" s="5" t="n">
        <v>7.5</v>
      </c>
      <c r="O806" s="3" t="inlineStr">
        <is>
          <t>원룸 즉시입주 오송역세권으로 인프라좋고 주변편의시설확충</t>
        </is>
      </c>
      <c r="P806" s="6">
        <f>HYPERLINK("https://fin.land.naver.com/articles/2652568338", "매물Link")</f>
        <v/>
      </c>
      <c r="Q806" s="6">
        <f>HYPERLINK("https://map.naver.com/p/search/오송읍 봉산리 1049", "지도Link")</f>
        <v/>
      </c>
      <c r="R806" s="6">
        <f>HYPERLINK("http://www.eum.go.kr/web/ar/lu/luLandDet.jsp?pnu=4311325031110490000&amp;isNoScr=script&amp;mode=search", "토지이음")</f>
        <v/>
      </c>
      <c r="S806" s="3" t="inlineStr">
        <is>
          <t>하림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공실있던적이 없는 상가주택. 상가 걱정 뚝. 먹자라인. 승강기 있음</t>
        </is>
      </c>
      <c r="P808" s="6">
        <f>HYPERLINK("https://fin.land.naver.com/articles/2655325956",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프로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먹자골목 상가임대완료 임대호실 임대완료</t>
        </is>
      </c>
      <c r="P809" s="6">
        <f>HYPERLINK("https://fin.land.naver.com/articles/2655925551",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프렌즈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64</v>
      </c>
      <c r="I811" s="4" t="n">
        <v>0</v>
      </c>
      <c r="J811" s="4" t="n">
        <v>0</v>
      </c>
      <c r="K811" s="5" t="n">
        <v>0</v>
      </c>
      <c r="L811" s="4" t="n">
        <v>31</v>
      </c>
      <c r="M811" s="4" t="n">
        <v>9</v>
      </c>
      <c r="N811" s="5" t="n">
        <v>7.1</v>
      </c>
      <c r="O811" s="3" t="inlineStr">
        <is>
          <t>즉시입주, 넓게 잘빠진 투베이, 메인상권 도보이용가능</t>
        </is>
      </c>
      <c r="P811" s="6">
        <f>HYPERLINK("https://fin.land.naver.com/articles/2652020507",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태원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다가구</t>
        </is>
      </c>
      <c r="F812" s="3" t="inlineStr">
        <is>
          <t>월세</t>
        </is>
      </c>
      <c r="G812" s="4" t="n">
        <v>1000</v>
      </c>
      <c r="H812" s="4" t="n">
        <v>60</v>
      </c>
      <c r="I812" s="4" t="n">
        <v>137</v>
      </c>
      <c r="J812" s="4" t="n">
        <v>41</v>
      </c>
      <c r="K812" s="5" t="n">
        <v>1.5</v>
      </c>
      <c r="L812" s="4" t="n">
        <v>31</v>
      </c>
      <c r="M812" s="4" t="n">
        <v>9</v>
      </c>
      <c r="N812" s="5" t="n">
        <v>6.7</v>
      </c>
      <c r="O812" s="3" t="inlineStr">
        <is>
          <t>신축투베이 오송역세권으로 인프라좋고 주변편의시설확충 중심상권 영화관</t>
        </is>
      </c>
      <c r="P812" s="6">
        <f>HYPERLINK("https://fin.land.naver.com/articles/2655709767",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하림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1060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단독</t>
        </is>
      </c>
      <c r="F814" s="3" t="inlineStr">
        <is>
          <t>월세</t>
        </is>
      </c>
      <c r="G814" s="4" t="n">
        <v>1000</v>
      </c>
      <c r="H814" s="4" t="n">
        <v>61</v>
      </c>
      <c r="I814" s="4" t="n">
        <v>56</v>
      </c>
      <c r="J814" s="4" t="n">
        <v>17</v>
      </c>
      <c r="K814" s="5" t="n">
        <v>3.6</v>
      </c>
      <c r="L814" s="4" t="n">
        <v>32</v>
      </c>
      <c r="M814" s="4" t="n">
        <v>10</v>
      </c>
      <c r="N814" s="5" t="n">
        <v>6.1</v>
      </c>
      <c r="O814" s="3" t="inlineStr">
        <is>
          <t>즉시 입주 가능, 첫입주투베이 ,편의시설이용편리</t>
        </is>
      </c>
      <c r="P814" s="6">
        <f>HYPERLINK("https://fin.land.naver.com/articles/2653034346", "매물Link")</f>
        <v/>
      </c>
      <c r="Q814" s="6">
        <f>HYPERLINK("https://map.naver.com/p/search/오송읍 봉산리 1060", "지도Link")</f>
        <v/>
      </c>
      <c r="R814" s="6">
        <f>HYPERLINK("http://www.eum.go.kr/web/ar/lu/luLandDet.jsp?pnu=4311325031110600000&amp;isNoScr=script&amp;mode=search",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206</v>
      </c>
      <c r="V814" s="4" t="n">
        <v>267.9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상가주택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32</v>
      </c>
      <c r="J815" s="4" t="n">
        <v>10</v>
      </c>
      <c r="K815" s="5" t="n">
        <v>6.1</v>
      </c>
      <c r="L815" s="4" t="n">
        <v>32</v>
      </c>
      <c r="M815" s="4" t="n">
        <v>10</v>
      </c>
      <c r="N815" s="5" t="n">
        <v>6.1</v>
      </c>
      <c r="O815" s="3" t="inlineStr">
        <is>
          <t>구조좋은 투베이,첫입주,신축,메인상권에위치</t>
        </is>
      </c>
      <c r="P815" s="6">
        <f>HYPERLINK("https://fin.land.naver.com/articles/2651021369",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오송올래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28</v>
      </c>
      <c r="J818" s="4" t="n">
        <v>8</v>
      </c>
      <c r="K818" s="5" t="n">
        <v>1250</v>
      </c>
      <c r="L818" s="4" t="n">
        <v>28</v>
      </c>
      <c r="M818" s="4" t="n">
        <v>8</v>
      </c>
      <c r="N818" s="5" t="n">
        <v>1250</v>
      </c>
      <c r="O818" s="3" t="inlineStr">
        <is>
          <t>반전세 조율가능 깔끔 화이트톤 투베이 ,대형 붙박이장,풀옵션,위치 좋음</t>
        </is>
      </c>
      <c r="P818" s="6">
        <f>HYPERLINK("https://fin.land.naver.com/articles/2652121664",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전세</t>
        </is>
      </c>
      <c r="G820" s="4" t="n">
        <v>10000</v>
      </c>
      <c r="H820" s="4" t="n">
        <v>0</v>
      </c>
      <c r="I820" s="4" t="n">
        <v>0</v>
      </c>
      <c r="J820" s="4" t="n">
        <v>0</v>
      </c>
      <c r="K820" s="5" t="n">
        <v>0</v>
      </c>
      <c r="L820" s="4" t="n">
        <v>28</v>
      </c>
      <c r="M820" s="4" t="n">
        <v>8</v>
      </c>
      <c r="N820" s="5" t="n">
        <v>1250</v>
      </c>
      <c r="O820" s="3" t="inlineStr">
        <is>
          <t>오송 귀한 투베이전세</t>
        </is>
      </c>
      <c r="P820" s="6">
        <f>HYPERLINK("https://fin.land.naver.com/articles/2652236245",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오송이가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1063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8000</v>
      </c>
      <c r="H821" s="4" t="n">
        <v>11</v>
      </c>
      <c r="I821" s="4" t="n">
        <v>52</v>
      </c>
      <c r="J821" s="4" t="n">
        <v>16</v>
      </c>
      <c r="K821" s="5" t="n">
        <v>0.7</v>
      </c>
      <c r="L821" s="4" t="n">
        <v>28</v>
      </c>
      <c r="M821" s="4" t="n">
        <v>8</v>
      </c>
      <c r="N821" s="5" t="n">
        <v>1.4</v>
      </c>
      <c r="O821" s="3" t="inlineStr">
        <is>
          <t>월세부담줄여주는 반전세,예쁜 투베이</t>
        </is>
      </c>
      <c r="P821" s="6">
        <f>HYPERLINK("https://fin.land.naver.com/articles/2655296543", "매물Link")</f>
        <v/>
      </c>
      <c r="Q821" s="6">
        <f>HYPERLINK("https://map.naver.com/p/search/오송읍 봉산리 1063", "지도Link")</f>
        <v/>
      </c>
      <c r="R821" s="6">
        <f>HYPERLINK("http://www.eum.go.kr/web/ar/lu/luLandDet.jsp?pnu=4311325031110630000&amp;isNoScr=script&amp;mode=search",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218.3</v>
      </c>
      <c r="V821" s="4" t="n">
        <v>273.7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20</v>
      </c>
      <c r="M823" s="4" t="n">
        <v>6</v>
      </c>
      <c r="N823" s="5" t="n">
        <v>8.300000000000001</v>
      </c>
      <c r="O823" s="3" t="inlineStr">
        <is>
          <t>넓게 빠짐 즉시입주 분리형 원룸 정석 , 오송 롯데시네마 바로 코 앞</t>
        </is>
      </c>
      <c r="P823" s="6">
        <f>HYPERLINK("https://fin.land.naver.com/articles/2656324923",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1066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1000</v>
      </c>
      <c r="H824" s="4" t="n">
        <v>75</v>
      </c>
      <c r="I824" s="4" t="n">
        <v>0</v>
      </c>
      <c r="J824" s="4" t="n">
        <v>0</v>
      </c>
      <c r="K824" s="5" t="n">
        <v>0</v>
      </c>
      <c r="L824" s="4" t="n">
        <v>40</v>
      </c>
      <c r="M824" s="4" t="n">
        <v>12</v>
      </c>
      <c r="N824" s="5" t="n">
        <v>6.2</v>
      </c>
      <c r="O824" s="3" t="inlineStr">
        <is>
          <t>실물만족 최고입주 협의 깔끔하고 넓은 귀한 투룸 월세</t>
        </is>
      </c>
      <c r="P824" s="6">
        <f>HYPERLINK("https://fin.land.naver.com/articles/2656339151", "매물Link")</f>
        <v/>
      </c>
      <c r="Q824" s="6">
        <f>HYPERLINK("https://map.naver.com/p/search/오송읍 봉산리 1066", "지도Link")</f>
        <v/>
      </c>
      <c r="R824" s="6">
        <f>HYPERLINK("http://www.eum.go.kr/web/ar/lu/luLandDet.jsp?pnu=4311325031110660000&amp;isNoScr=script&amp;mode=search",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206</v>
      </c>
      <c r="V824" s="4" t="n">
        <v>268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단독</t>
        </is>
      </c>
      <c r="F825" s="3" t="inlineStr">
        <is>
          <t>전세</t>
        </is>
      </c>
      <c r="G825" s="4" t="n">
        <v>23000</v>
      </c>
      <c r="H825" s="4" t="n">
        <v>0</v>
      </c>
      <c r="I825" s="4" t="n">
        <v>133</v>
      </c>
      <c r="J825" s="4" t="n">
        <v>40</v>
      </c>
      <c r="K825" s="5" t="n">
        <v>575</v>
      </c>
      <c r="L825" s="4" t="n">
        <v>115</v>
      </c>
      <c r="M825" s="4" t="n">
        <v>35</v>
      </c>
      <c r="N825" s="5" t="n">
        <v>657.1</v>
      </c>
      <c r="O825" s="3" t="inlineStr">
        <is>
          <t>즉시 입주 가능한 고급스러운 주인세대 전세</t>
        </is>
      </c>
      <c r="P825" s="6">
        <f>HYPERLINK("https://fin.land.naver.com/articles/2652600296", "매물Link")</f>
        <v/>
      </c>
      <c r="Q825" s="6">
        <f>HYPERLINK("https://map.naver.com/p/search/오송읍 봉산리 1080", "지도Link")</f>
        <v/>
      </c>
      <c r="R825" s="6">
        <f>HYPERLINK("http://www.eum.go.kr/web/ar/lu/luLandDet.jsp?pnu=4311325031110800000&amp;isNoScr=script&amp;mode=search",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206</v>
      </c>
      <c r="V825" s="4" t="n">
        <v>267.6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100</v>
      </c>
      <c r="I826" s="4" t="n">
        <v>0</v>
      </c>
      <c r="J826" s="4" t="n">
        <v>0</v>
      </c>
      <c r="K826" s="5" t="n">
        <v>0</v>
      </c>
      <c r="L826" s="4" t="n">
        <v>59</v>
      </c>
      <c r="M826" s="4" t="n">
        <v>18</v>
      </c>
      <c r="N826" s="5" t="n">
        <v>5.6</v>
      </c>
      <c r="O826" s="3" t="inlineStr">
        <is>
          <t>너무 이쁜 화이트톤 쓰리룸 월세 11월 입주 가능해요 ,컨디션 최고</t>
        </is>
      </c>
      <c r="P826" s="6">
        <f>HYPERLINK("https://fin.land.naver.com/articles/2656015021",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단독</t>
        </is>
      </c>
      <c r="F827" s="3" t="inlineStr">
        <is>
          <t>월세</t>
        </is>
      </c>
      <c r="G827" s="4" t="n">
        <v>2000</v>
      </c>
      <c r="H827" s="4" t="n">
        <v>91</v>
      </c>
      <c r="I827" s="4" t="n">
        <v>79</v>
      </c>
      <c r="J827" s="4" t="n">
        <v>24</v>
      </c>
      <c r="K827" s="5" t="n">
        <v>3.8</v>
      </c>
      <c r="L827" s="4" t="n">
        <v>59</v>
      </c>
      <c r="M827" s="4" t="n">
        <v>18</v>
      </c>
      <c r="N827" s="5" t="n">
        <v>5.1</v>
      </c>
      <c r="O827" s="3" t="inlineStr">
        <is>
          <t>편의시설 이용편리,깔끔한 쓰리룸</t>
        </is>
      </c>
      <c r="P827" s="6">
        <f>HYPERLINK("https://fin.land.naver.com/articles/2655348018", "매물Link")</f>
        <v/>
      </c>
      <c r="Q827" s="6">
        <f>HYPERLINK("https://map.naver.com/p/search/오송읍 봉산리 1083", "지도Link")</f>
        <v/>
      </c>
      <c r="R827" s="6">
        <f>HYPERLINK("http://www.eum.go.kr/web/ar/lu/luLandDet.jsp?pnu=4311325031110830000&amp;isNoScr=script&amp;mode=search",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208.1</v>
      </c>
      <c r="V827" s="4" t="n">
        <v>240.8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1086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다가구</t>
        </is>
      </c>
      <c r="F829" s="3" t="inlineStr">
        <is>
          <t>전세</t>
        </is>
      </c>
      <c r="G829" s="4" t="n">
        <v>12000</v>
      </c>
      <c r="H829" s="4" t="n">
        <v>0</v>
      </c>
      <c r="I829" s="4" t="n">
        <v>50</v>
      </c>
      <c r="J829" s="4" t="n">
        <v>15</v>
      </c>
      <c r="K829" s="5" t="n">
        <v>800</v>
      </c>
      <c r="L829" s="4" t="n">
        <v>50</v>
      </c>
      <c r="M829" s="4" t="n">
        <v>15</v>
      </c>
      <c r="N829" s="5" t="n">
        <v>800</v>
      </c>
      <c r="O829" s="3" t="inlineStr">
        <is>
          <t>중심상권 근접.깔끔하고 예쁜 투룸.</t>
        </is>
      </c>
      <c r="P829" s="6">
        <f>HYPERLINK("https://fin.land.naver.com/articles/2654570258", "매물Link")</f>
        <v/>
      </c>
      <c r="Q829" s="6">
        <f>HYPERLINK("https://map.naver.com/p/search/오송읍 봉산리 1086", "지도Link")</f>
        <v/>
      </c>
      <c r="R829" s="6">
        <f>HYPERLINK("http://www.eum.go.kr/web/ar/lu/luLandDet.jsp?pnu=4311325031110860000&amp;isNoScr=script&amp;mode=search", "토지이음")</f>
        <v/>
      </c>
      <c r="S829" s="3" t="inlineStr">
        <is>
          <t>이룸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500</v>
      </c>
      <c r="H830" s="4" t="n">
        <v>50</v>
      </c>
      <c r="I830" s="4" t="n">
        <v>0</v>
      </c>
      <c r="J830" s="4" t="n">
        <v>0</v>
      </c>
      <c r="K830" s="5" t="n">
        <v>0</v>
      </c>
      <c r="L830" s="4" t="n">
        <v>22</v>
      </c>
      <c r="M830" s="4" t="n">
        <v>7</v>
      </c>
      <c r="N830" s="5" t="n">
        <v>7.1</v>
      </c>
      <c r="O830" s="3" t="inlineStr">
        <is>
          <t>귀한 신축 분리형 원룸 즉시입주 가능</t>
        </is>
      </c>
      <c r="P830" s="6">
        <f>HYPERLINK("https://fin.land.naver.com/articles/2653878621", "매물Link")</f>
        <v/>
      </c>
      <c r="Q830" s="6">
        <f>HYPERLINK("https://map.naver.com/p/search/오송읍 봉산리 1091", "지도Link")</f>
        <v/>
      </c>
      <c r="R830" s="6">
        <f>HYPERLINK("http://www.eum.go.kr/web/ar/lu/luLandDet.jsp?pnu=4311325031110910000&amp;isNoScr=script&amp;mode=search",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1093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66</v>
      </c>
      <c r="I831" s="4" t="n">
        <v>66</v>
      </c>
      <c r="J831" s="4" t="n">
        <v>20</v>
      </c>
      <c r="K831" s="5" t="n">
        <v>3.3</v>
      </c>
      <c r="L831" s="4" t="n">
        <v>41</v>
      </c>
      <c r="M831" s="4" t="n">
        <v>12</v>
      </c>
      <c r="N831" s="5" t="n">
        <v>5.5</v>
      </c>
      <c r="O831" s="3" t="inlineStr">
        <is>
          <t>즉시입주,도배완료,베란다있는 투룸</t>
        </is>
      </c>
      <c r="P831" s="6">
        <f>HYPERLINK("https://fin.land.naver.com/articles/2655971530", "매물Link")</f>
        <v/>
      </c>
      <c r="Q831" s="6">
        <f>HYPERLINK("https://map.naver.com/p/search/오송읍 봉산리 1093", "지도Link")</f>
        <v/>
      </c>
      <c r="R831" s="6">
        <f>HYPERLINK("http://www.eum.go.kr/web/ar/lu/luLandDet.jsp?pnu=4311325031110930000&amp;isNoScr=script&amp;mode=search",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305.4</v>
      </c>
      <c r="V831" s="4" t="n">
        <v>247.4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1099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500</v>
      </c>
      <c r="H832" s="4" t="n">
        <v>50</v>
      </c>
      <c r="I832" s="4" t="n">
        <v>0</v>
      </c>
      <c r="J832" s="4" t="n">
        <v>0</v>
      </c>
      <c r="K832" s="5" t="n">
        <v>0</v>
      </c>
      <c r="L832" s="4" t="n">
        <v>23</v>
      </c>
      <c r="M832" s="4" t="n">
        <v>7</v>
      </c>
      <c r="N832" s="5" t="n">
        <v>7.1</v>
      </c>
      <c r="O832" s="3" t="inlineStr">
        <is>
          <t>풀옵션 신축 대형 원룸 월세, 통창 막힘없는 뷰 개방감좋음,베란다있음</t>
        </is>
      </c>
      <c r="P832" s="6">
        <f>HYPERLINK("https://fin.land.naver.com/articles/2656339521", "매물Link")</f>
        <v/>
      </c>
      <c r="Q832" s="6">
        <f>HYPERLINK("https://map.naver.com/p/search/오송읍 봉산리 1099", "지도Link")</f>
        <v/>
      </c>
      <c r="R832" s="6">
        <f>HYPERLINK("http://www.eum.go.kr/web/ar/lu/luLandDet.jsp?pnu=4311325031110990000&amp;isNoScr=script&amp;mode=search", "토지이음")</f>
        <v/>
      </c>
      <c r="S832" s="3" t="inlineStr">
        <is>
          <t>오송바이오창조</t>
        </is>
      </c>
      <c r="T832" s="4" t="n">
        <v>1</v>
      </c>
      <c r="U832" s="5" t="n">
        <v>220.6</v>
      </c>
      <c r="V832" s="4" t="n">
        <v>234.6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소로각지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급매물, 먹자상권 수익률좋은 다가구주택,주인세대거주가능</t>
        </is>
      </c>
      <c r="P833" s="6">
        <f>HYPERLINK("https://fin.land.naver.com/articles/2653786060",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오송올래</t>
        </is>
      </c>
      <c r="T833" s="4" t="n">
        <v>1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역세권 인프라. 슬세권 상가주택. 임대세대 리모델링</t>
        </is>
      </c>
      <c r="P834" s="6">
        <f>HYPERLINK("https://fin.land.naver.com/articles/2651757739",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프로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1100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118000</v>
      </c>
      <c r="H835" s="4" t="n">
        <v>0</v>
      </c>
      <c r="I835" s="4" t="n">
        <v>240</v>
      </c>
      <c r="J835" s="4" t="n">
        <v>73</v>
      </c>
      <c r="K835" s="5" t="n">
        <v>1616.4</v>
      </c>
      <c r="L835" s="4" t="n">
        <v>383</v>
      </c>
      <c r="M835" s="4" t="n">
        <v>116</v>
      </c>
      <c r="N835" s="5" t="n">
        <v>1017.2</v>
      </c>
      <c r="O835" s="3" t="inlineStr">
        <is>
          <t>오송 최저가 입지 좋은 먹자골목 상가주택</t>
        </is>
      </c>
      <c r="P835" s="6">
        <f>HYPERLINK("https://fin.land.naver.com/articles/2655925387", "매물Link")</f>
        <v/>
      </c>
      <c r="Q835" s="6">
        <f>HYPERLINK("https://map.naver.com/p/search/오송읍 봉산리 1100", "지도Link")</f>
        <v/>
      </c>
      <c r="R835" s="6">
        <f>HYPERLINK("http://www.eum.go.kr/web/ar/lu/luLandDet.jsp?pnu=4311325031111000000&amp;isNoScr=script&amp;mode=search", "토지이음")</f>
        <v/>
      </c>
      <c r="S835" s="3" t="inlineStr">
        <is>
          <t>프렌즈</t>
        </is>
      </c>
      <c r="T835" s="4" t="n">
        <v>2</v>
      </c>
      <c r="U835" s="5" t="n">
        <v>208.1</v>
      </c>
      <c r="V835" s="4" t="n">
        <v>240.4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1105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1000</v>
      </c>
      <c r="H836" s="4" t="n">
        <v>55</v>
      </c>
      <c r="I836" s="4" t="n">
        <v>33</v>
      </c>
      <c r="J836" s="4" t="n">
        <v>10</v>
      </c>
      <c r="K836" s="5" t="n">
        <v>5.5</v>
      </c>
      <c r="L836" s="4" t="n">
        <v>33</v>
      </c>
      <c r="M836" s="4" t="n">
        <v>10</v>
      </c>
      <c r="N836" s="5" t="n">
        <v>5.5</v>
      </c>
      <c r="O836" s="3" t="inlineStr">
        <is>
          <t>오송2단 인테리어 가장 예쁜 투베이 풀옵션 중문있고 수납장 완비</t>
        </is>
      </c>
      <c r="P836" s="6">
        <f>HYPERLINK("https://fin.land.naver.com/articles/2651797659", "매물Link")</f>
        <v/>
      </c>
      <c r="Q836" s="6">
        <f>HYPERLINK("https://map.naver.com/p/search/오송읍 봉산리 1105", "지도Link")</f>
        <v/>
      </c>
      <c r="R836" s="6">
        <f>HYPERLINK("http://www.eum.go.kr/web/ar/lu/luLandDet.jsp?pnu=4311325031111050000&amp;isNoScr=script&amp;mode=search", "토지이음")</f>
        <v/>
      </c>
      <c r="S836" s="3" t="inlineStr">
        <is>
          <t>스케치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일괄매매 오송역세권으로 인프라좋고 주변편의시설확충  신축상가주택매매</t>
        </is>
      </c>
      <c r="P837" s="6">
        <f>HYPERLINK("https://fin.land.naver.com/articles/2652812602",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하림</t>
        </is>
      </c>
      <c r="T837" s="4" t="n">
        <v>2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신축 승강시O 주인세대 거주하며 월세수익 400만원 가능</t>
        </is>
      </c>
      <c r="P839" s="6">
        <f>HYPERLINK("https://fin.land.naver.com/articles/2651798309",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미래n</t>
        </is>
      </c>
      <c r="T839" s="4" t="n">
        <v>1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매매</t>
        </is>
      </c>
      <c r="G840" s="4" t="n">
        <v>145000</v>
      </c>
      <c r="H840" s="4" t="n">
        <v>0</v>
      </c>
      <c r="I840" s="4" t="n">
        <v>240</v>
      </c>
      <c r="J840" s="4" t="n">
        <v>73</v>
      </c>
      <c r="K840" s="5" t="n">
        <v>1986.3</v>
      </c>
      <c r="L840" s="4" t="n">
        <v>474</v>
      </c>
      <c r="M840" s="4" t="n">
        <v>143</v>
      </c>
      <c r="N840" s="5" t="n">
        <v>1014</v>
      </c>
      <c r="O840" s="3" t="inlineStr">
        <is>
          <t>올해 준공된 신축 먹자골목 내 수익률 좋은 상가 주택</t>
        </is>
      </c>
      <c r="P840" s="6">
        <f>HYPERLINK("https://fin.land.naver.com/articles/2656165652",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아시아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1111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138000</v>
      </c>
      <c r="H841" s="4" t="n">
        <v>0</v>
      </c>
      <c r="I841" s="4" t="n">
        <v>240</v>
      </c>
      <c r="J841" s="4" t="n">
        <v>73</v>
      </c>
      <c r="K841" s="5" t="n">
        <v>1890.4</v>
      </c>
      <c r="L841" s="4" t="n">
        <v>474</v>
      </c>
      <c r="M841" s="4" t="n">
        <v>143</v>
      </c>
      <c r="N841" s="5" t="n">
        <v>965</v>
      </c>
      <c r="O841" s="3" t="inlineStr">
        <is>
          <t>급매 신축 원룸건물, 수익률 잘나와요, 중심상가 인근, 상가 직접사용가능</t>
        </is>
      </c>
      <c r="P841" s="6">
        <f>HYPERLINK("https://fin.land.naver.com/articles/2655349838", "매물Link")</f>
        <v/>
      </c>
      <c r="Q841" s="6">
        <f>HYPERLINK("https://map.naver.com/p/search/오송읍 봉산리 1111", "지도Link")</f>
        <v/>
      </c>
      <c r="R841" s="6">
        <f>HYPERLINK("http://www.eum.go.kr/web/ar/lu/luLandDet.jsp?pnu=4311325031111110000&amp;isNoScr=script&amp;mode=search", "토지이음")</f>
        <v/>
      </c>
      <c r="S841" s="3" t="inlineStr">
        <is>
          <t>프로</t>
        </is>
      </c>
      <c r="T841" s="4" t="n">
        <v>1</v>
      </c>
      <c r="U841" s="5" t="n">
        <v>208.1</v>
      </c>
      <c r="V841" s="4" t="n">
        <v>240.9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1113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다가구</t>
        </is>
      </c>
      <c r="F842" s="3" t="inlineStr">
        <is>
          <t>월세</t>
        </is>
      </c>
      <c r="G842" s="4" t="n">
        <v>1000</v>
      </c>
      <c r="H842" s="4" t="n">
        <v>55</v>
      </c>
      <c r="I842" s="4" t="n">
        <v>134</v>
      </c>
      <c r="J842" s="4" t="n">
        <v>41</v>
      </c>
      <c r="K842" s="5" t="n">
        <v>1.3</v>
      </c>
      <c r="L842" s="4" t="n">
        <v>31</v>
      </c>
      <c r="M842" s="4" t="n">
        <v>9</v>
      </c>
      <c r="N842" s="5" t="n">
        <v>6.1</v>
      </c>
      <c r="O842" s="3" t="inlineStr">
        <is>
          <t>신축투베이 오송역세권10분 인프라좋고 주변편의시설확충 통근버스측근거리</t>
        </is>
      </c>
      <c r="P842" s="6">
        <f>HYPERLINK("https://fin.land.naver.com/articles/2650950089", "매물Link")</f>
        <v/>
      </c>
      <c r="Q842" s="6">
        <f>HYPERLINK("https://map.naver.com/p/search/오송읍 봉산리 1113", "지도Link")</f>
        <v/>
      </c>
      <c r="R842" s="6">
        <f>HYPERLINK("http://www.eum.go.kr/web/ar/lu/luLandDet.jsp?pnu=4311325031111130000&amp;isNoScr=script&amp;mode=search",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208.1</v>
      </c>
      <c r="V842" s="4" t="n">
        <v>241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162000</v>
      </c>
      <c r="H843" s="4" t="n">
        <v>0</v>
      </c>
      <c r="I843" s="4" t="n">
        <v>248</v>
      </c>
      <c r="J843" s="4" t="n">
        <v>75</v>
      </c>
      <c r="K843" s="5" t="n">
        <v>2160</v>
      </c>
      <c r="L843" s="4" t="n">
        <v>480</v>
      </c>
      <c r="M843" s="4" t="n">
        <v>145</v>
      </c>
      <c r="N843" s="5" t="n">
        <v>1117.2</v>
      </c>
      <c r="O843" s="3" t="inlineStr">
        <is>
          <t>3면 코너각지 입지좋은 상가주택</t>
        </is>
      </c>
      <c r="P843" s="6">
        <f>HYPERLINK("https://fin.land.naver.com/articles/2652484166",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오송1단지창조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162000</v>
      </c>
      <c r="H844" s="4" t="n">
        <v>0</v>
      </c>
      <c r="I844" s="4" t="n">
        <v>248</v>
      </c>
      <c r="J844" s="4" t="n">
        <v>75</v>
      </c>
      <c r="K844" s="5" t="n">
        <v>2160</v>
      </c>
      <c r="L844" s="4" t="n">
        <v>480</v>
      </c>
      <c r="M844" s="4" t="n">
        <v>145</v>
      </c>
      <c r="N844" s="5" t="n">
        <v>1117.2</v>
      </c>
      <c r="O844" s="3" t="inlineStr">
        <is>
          <t>중심 먹자골목에 위치한 매물</t>
        </is>
      </c>
      <c r="P844" s="6">
        <f>HYPERLINK("https://fin.land.naver.com/articles/2651109424", "매물Link")</f>
        <v/>
      </c>
      <c r="Q844" s="6">
        <f>HYPERLINK("https://map.naver.com/p/search/오송읍 봉산리 1114", "지도Link")</f>
        <v/>
      </c>
      <c r="R844" s="6">
        <f>HYPERLINK("http://www.eum.go.kr/web/ar/lu/luLandDet.jsp?pnu=4311325031111140000&amp;isNoScr=script&amp;mode=search", "토지이음")</f>
        <v/>
      </c>
      <c r="S844" s="3" t="inlineStr">
        <is>
          <t>오송2단지창조</t>
        </is>
      </c>
      <c r="T844" s="4" t="n">
        <v>1</v>
      </c>
      <c r="U844" s="5" t="n">
        <v>308.5</v>
      </c>
      <c r="V844" s="4" t="n">
        <v>247.7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1114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0</v>
      </c>
      <c r="J845" s="4" t="n">
        <v>0</v>
      </c>
      <c r="K845" s="5" t="n">
        <v>0</v>
      </c>
      <c r="L845" s="4" t="n">
        <v>20</v>
      </c>
      <c r="M845" s="4" t="n">
        <v>6</v>
      </c>
      <c r="N845" s="5" t="n">
        <v>8.300000000000001</v>
      </c>
      <c r="O845" s="3" t="inlineStr">
        <is>
          <t>즉시입주 가능 2단지 신축 원룸 월세 ,컨디션 최상급, 원룸 소진 빨라요</t>
        </is>
      </c>
      <c r="P845" s="6">
        <f>HYPERLINK("https://fin.land.naver.com/articles/2652406339", "매물Link")</f>
        <v/>
      </c>
      <c r="Q845" s="6">
        <f>HYPERLINK("https://map.naver.com/p/search/오송읍 봉산리 1114", "지도Link")</f>
        <v/>
      </c>
      <c r="R845" s="6">
        <f>HYPERLINK("http://www.eum.go.kr/web/ar/lu/luLandDet.jsp?pnu=4311325031111140000&amp;isNoScr=script&amp;mode=search", "토지이음")</f>
        <v/>
      </c>
      <c r="S845" s="3" t="inlineStr">
        <is>
          <t>오송바이오창조</t>
        </is>
      </c>
      <c r="T845" s="4" t="n">
        <v>1</v>
      </c>
      <c r="U845" s="5" t="n">
        <v>308.5</v>
      </c>
      <c r="V845" s="4" t="n">
        <v>247.7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1114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162000</v>
      </c>
      <c r="H846" s="4" t="n">
        <v>0</v>
      </c>
      <c r="I846" s="4" t="n">
        <v>248</v>
      </c>
      <c r="J846" s="4" t="n">
        <v>75</v>
      </c>
      <c r="K846" s="5" t="n">
        <v>2160</v>
      </c>
      <c r="L846" s="4" t="n">
        <v>480</v>
      </c>
      <c r="M846" s="4" t="n">
        <v>145</v>
      </c>
      <c r="N846" s="5" t="n">
        <v>1117.2</v>
      </c>
      <c r="O846" s="3" t="inlineStr">
        <is>
          <t>중심 먹자골목에 위치한 매물</t>
        </is>
      </c>
      <c r="P846" s="6">
        <f>HYPERLINK("https://fin.land.naver.com/articles/2655167933", "매물Link")</f>
        <v/>
      </c>
      <c r="Q846" s="6">
        <f>HYPERLINK("https://map.naver.com/p/search/오송읍 봉산리 1114", "지도Link")</f>
        <v/>
      </c>
      <c r="R846" s="6">
        <f>HYPERLINK("http://www.eum.go.kr/web/ar/lu/luLandDet.jsp?pnu=4311325031111140000&amp;isNoScr=script&amp;mode=search",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308.5</v>
      </c>
      <c r="V846" s="4" t="n">
        <v>247.7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중로각지</t>
        </is>
      </c>
    </row>
    <row r="847">
      <c r="A847" s="3" t="inlineStr">
        <is>
          <t>오송읍 봉산리 1115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200000</v>
      </c>
      <c r="H847" s="4" t="n">
        <v>0</v>
      </c>
      <c r="I847" s="4" t="n">
        <v>247</v>
      </c>
      <c r="J847" s="4" t="n">
        <v>75</v>
      </c>
      <c r="K847" s="5" t="n">
        <v>2666.7</v>
      </c>
      <c r="L847" s="4" t="n">
        <v>473</v>
      </c>
      <c r="M847" s="4" t="n">
        <v>143</v>
      </c>
      <c r="N847" s="5" t="n">
        <v>1398.6</v>
      </c>
      <c r="O847" s="3" t="inlineStr">
        <is>
          <t>상가입지 최상 상가 공실 위험 제로인 메인먹자라인</t>
        </is>
      </c>
      <c r="P847" s="6">
        <f>HYPERLINK("https://fin.land.naver.com/articles/2655925361", "매물Link")</f>
        <v/>
      </c>
      <c r="Q847" s="6">
        <f>HYPERLINK("https://map.naver.com/p/search/오송읍 봉산리 1115", "지도Link")</f>
        <v/>
      </c>
      <c r="R847" s="6">
        <f>HYPERLINK("http://www.eum.go.kr/web/ar/lu/luLandDet.jsp?pnu=4311325031111150000&amp;isNoScr=script&amp;mode=search",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305.4</v>
      </c>
      <c r="V847" s="4" t="n">
        <v>247.5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500</v>
      </c>
      <c r="H848" s="4" t="n">
        <v>50</v>
      </c>
      <c r="I848" s="4" t="n">
        <v>126</v>
      </c>
      <c r="J848" s="4" t="n">
        <v>38</v>
      </c>
      <c r="K848" s="5" t="n">
        <v>1.3</v>
      </c>
      <c r="L848" s="4" t="n">
        <v>20</v>
      </c>
      <c r="M848" s="4" t="n">
        <v>6</v>
      </c>
      <c r="N848" s="5" t="n">
        <v>8.300000000000001</v>
      </c>
      <c r="O848" s="3" t="inlineStr">
        <is>
          <t>햇빛과 통풍이 잘드는집 오송역세권으로 인프라좋고 주변편의시설확충</t>
        </is>
      </c>
      <c r="P848" s="6">
        <f>HYPERLINK("https://fin.land.naver.com/articles/2652596008", "매물Link")</f>
        <v/>
      </c>
      <c r="Q848" s="6">
        <f>HYPERLINK("https://map.naver.com/p/search/오송읍 봉산리 1120", "지도Link")</f>
        <v/>
      </c>
      <c r="R848" s="6">
        <f>HYPERLINK("http://www.eum.go.kr/web/ar/lu/luLandDet.jsp?pnu=4311325031111200000&amp;isNoScr=script&amp;mode=search", "토지이음")</f>
        <v/>
      </c>
      <c r="S848" s="3" t="inlineStr">
        <is>
          <t>하림</t>
        </is>
      </c>
      <c r="T848" s="4" t="n">
        <v>1</v>
      </c>
      <c r="U848" s="5" t="n">
        <v>220.6</v>
      </c>
      <c r="V848" s="4" t="n">
        <v>234.7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75</v>
      </c>
      <c r="I849" s="4" t="n">
        <v>0</v>
      </c>
      <c r="J849" s="4" t="n">
        <v>0</v>
      </c>
      <c r="K849" s="5" t="n">
        <v>0</v>
      </c>
      <c r="L849" s="4" t="n">
        <v>41</v>
      </c>
      <c r="M849" s="4" t="n">
        <v>12</v>
      </c>
      <c r="N849" s="5" t="n">
        <v>6.2</v>
      </c>
      <c r="O849" s="3" t="inlineStr">
        <is>
          <t>오송2단지 빠른입주 예쁜 투룸  중문, 건조기 , 시스템에어컨</t>
        </is>
      </c>
      <c r="P849" s="6">
        <f>HYPERLINK("https://fin.land.naver.com/articles/2655925503",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스케치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210000</v>
      </c>
      <c r="H850" s="4" t="n">
        <v>0</v>
      </c>
      <c r="I850" s="4" t="n">
        <v>248</v>
      </c>
      <c r="J850" s="4" t="n">
        <v>75</v>
      </c>
      <c r="K850" s="5" t="n">
        <v>2800</v>
      </c>
      <c r="L850" s="4" t="n">
        <v>447</v>
      </c>
      <c r="M850" s="4" t="n">
        <v>135</v>
      </c>
      <c r="N850" s="5" t="n">
        <v>1555.6</v>
      </c>
      <c r="O850" s="3" t="inlineStr">
        <is>
          <t>오송 1등 입지  월 890만원 오송 최고급 상가주택</t>
        </is>
      </c>
      <c r="P850" s="6">
        <f>HYPERLINK("https://fin.land.naver.com/articles/2655925377", "매물Link")</f>
        <v/>
      </c>
      <c r="Q850" s="6">
        <f>HYPERLINK("https://map.naver.com/p/search/오송읍 봉산리 1127", "지도Link")</f>
        <v/>
      </c>
      <c r="R850" s="6">
        <f>HYPERLINK("http://www.eum.go.kr/web/ar/lu/luLandDet.jsp?pnu=4311325031111270000&amp;isNoScr=script&amp;mode=search",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210000</v>
      </c>
      <c r="H851" s="4" t="n">
        <v>0</v>
      </c>
      <c r="I851" s="4" t="n">
        <v>248</v>
      </c>
      <c r="J851" s="4" t="n">
        <v>75</v>
      </c>
      <c r="K851" s="5" t="n">
        <v>2800</v>
      </c>
      <c r="L851" s="4" t="n">
        <v>447</v>
      </c>
      <c r="M851" s="4" t="n">
        <v>135</v>
      </c>
      <c r="N851" s="5" t="n">
        <v>1555.6</v>
      </c>
      <c r="O851" s="3" t="inlineStr">
        <is>
          <t>오송2산단 메인상권 핵심사거리 3면 코너, 수익률 양호한 상가주택</t>
        </is>
      </c>
      <c r="P851" s="6">
        <f>HYPERLINK("https://fin.land.naver.com/articles/2655277781", "매물Link")</f>
        <v/>
      </c>
      <c r="Q851" s="6">
        <f>HYPERLINK("https://map.naver.com/p/search/오송읍 봉산리 1127", "지도Link")</f>
        <v/>
      </c>
      <c r="R851" s="6">
        <f>HYPERLINK("http://www.eum.go.kr/web/ar/lu/luLandDet.jsp?pnu=4311325031111270000&amp;isNoScr=script&amp;mode=search", "토지이음")</f>
        <v/>
      </c>
      <c r="S851" s="3" t="inlineStr">
        <is>
          <t>광장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1127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210000</v>
      </c>
      <c r="H852" s="4" t="n">
        <v>0</v>
      </c>
      <c r="I852" s="4" t="n">
        <v>248</v>
      </c>
      <c r="J852" s="4" t="n">
        <v>75</v>
      </c>
      <c r="K852" s="5" t="n">
        <v>2800</v>
      </c>
      <c r="L852" s="4" t="n">
        <v>496</v>
      </c>
      <c r="M852" s="4" t="n">
        <v>150</v>
      </c>
      <c r="N852" s="5" t="n">
        <v>1400</v>
      </c>
      <c r="O852" s="3" t="inlineStr">
        <is>
          <t>신축단지 초중심 사거리 코너, 인테리어 되어있어요. 보면 반할집</t>
        </is>
      </c>
      <c r="P852" s="6">
        <f>HYPERLINK("https://fin.land.naver.com/articles/2653992108", "매물Link")</f>
        <v/>
      </c>
      <c r="Q852" s="6">
        <f>HYPERLINK("https://map.naver.com/p/search/오송읍 봉산리 1127", "지도Link")</f>
        <v/>
      </c>
      <c r="R852" s="6">
        <f>HYPERLINK("http://www.eum.go.kr/web/ar/lu/luLandDet.jsp?pnu=4311325031111270000&amp;isNoScr=script&amp;mode=search",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가치상승 기대되는 메인 먹자상권 상가주택 매매</t>
        </is>
      </c>
      <c r="P853" s="6">
        <f>HYPERLINK("https://fin.land.naver.com/articles/2651577795",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노른자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오송역세권 큰대로변, 1층 프랜차이즈, 월세받기좋아요</t>
        </is>
      </c>
      <c r="P855" s="6">
        <f>HYPERLINK("https://fin.land.naver.com/articles/2653991771",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위치 좋은 대로변 상가주택 월 690만 수익</t>
        </is>
      </c>
      <c r="P856" s="6">
        <f>HYPERLINK("https://fin.land.naver.com/articles/2653598171",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미래n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1128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248</v>
      </c>
      <c r="J857" s="4" t="n">
        <v>75</v>
      </c>
      <c r="K857" s="5" t="n">
        <v>2133.3</v>
      </c>
      <c r="L857" s="4" t="n">
        <v>490</v>
      </c>
      <c r="M857" s="4" t="n">
        <v>148</v>
      </c>
      <c r="N857" s="5" t="n">
        <v>1081.1</v>
      </c>
      <c r="O857" s="3" t="inlineStr">
        <is>
          <t>중심상권 인근 상가주택 매매, 월세 약 700만원</t>
        </is>
      </c>
      <c r="P857" s="6">
        <f>HYPERLINK("https://fin.land.naver.com/articles/2655758177", "매물Link")</f>
        <v/>
      </c>
      <c r="Q857" s="6">
        <f>HYPERLINK("https://map.naver.com/p/search/오송읍 봉산리 1128", "지도Link")</f>
        <v/>
      </c>
      <c r="R857" s="6">
        <f>HYPERLINK("http://www.eum.go.kr/web/ar/lu/luLandDet.jsp?pnu=4311325031111280000&amp;isNoScr=script&amp;mode=search", "토지이음")</f>
        <v/>
      </c>
      <c r="S857" s="3" t="inlineStr">
        <is>
          <t>광장</t>
        </is>
      </c>
      <c r="T857" s="4" t="n">
        <v>1</v>
      </c>
      <c r="U857" s="5" t="n">
        <v>340.5</v>
      </c>
      <c r="V857" s="4" t="n">
        <v>248.7</v>
      </c>
      <c r="W857" s="3" t="inlineStr">
        <is>
          <t>지정되지않음</t>
        </is>
      </c>
      <c r="X857" s="3" t="inlineStr">
        <is>
          <t>주상용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1128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248</v>
      </c>
      <c r="J858" s="4" t="n">
        <v>75</v>
      </c>
      <c r="K858" s="5" t="n">
        <v>2133.3</v>
      </c>
      <c r="L858" s="4" t="n">
        <v>490</v>
      </c>
      <c r="M858" s="4" t="n">
        <v>148</v>
      </c>
      <c r="N858" s="5" t="n">
        <v>1081.1</v>
      </c>
      <c r="O858" s="3" t="inlineStr">
        <is>
          <t>위치가 최상급인 수익률 좋은 상가주택</t>
        </is>
      </c>
      <c r="P858" s="6">
        <f>HYPERLINK("https://fin.land.naver.com/articles/2653091826", "매물Link")</f>
        <v/>
      </c>
      <c r="Q858" s="6">
        <f>HYPERLINK("https://map.naver.com/p/search/오송읍 봉산리 1128", "지도Link")</f>
        <v/>
      </c>
      <c r="R858" s="6">
        <f>HYPERLINK("http://www.eum.go.kr/web/ar/lu/luLandDet.jsp?pnu=4311325031111280000&amp;isNoScr=script&amp;mode=search", "토지이음")</f>
        <v/>
      </c>
      <c r="S858" s="3" t="inlineStr">
        <is>
          <t>아시아</t>
        </is>
      </c>
      <c r="T858" s="4" t="n">
        <v>1</v>
      </c>
      <c r="U858" s="5" t="n">
        <v>340.5</v>
      </c>
      <c r="V858" s="4" t="n">
        <v>248.7</v>
      </c>
      <c r="W858" s="3" t="inlineStr">
        <is>
          <t>지정되지않음</t>
        </is>
      </c>
      <c r="X858" s="3" t="inlineStr">
        <is>
          <t>주상용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1143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전세</t>
        </is>
      </c>
      <c r="G859" s="4" t="n">
        <v>20000</v>
      </c>
      <c r="H859" s="4" t="n">
        <v>0</v>
      </c>
      <c r="I859" s="4" t="n">
        <v>143</v>
      </c>
      <c r="J859" s="4" t="n">
        <v>43</v>
      </c>
      <c r="K859" s="5" t="n">
        <v>465.1</v>
      </c>
      <c r="L859" s="4" t="n">
        <v>125</v>
      </c>
      <c r="M859" s="4" t="n">
        <v>38</v>
      </c>
      <c r="N859" s="5" t="n">
        <v>526.3</v>
      </c>
      <c r="O859" s="3" t="inlineStr">
        <is>
          <t>주인세대 넓은  뻥뷰남향으로 햇빛이 잘드는집 아파트보다 더나은 럭셔컨디션</t>
        </is>
      </c>
      <c r="P859" s="6">
        <f>HYPERLINK("https://fin.land.naver.com/articles/2653289916", "매물Link")</f>
        <v/>
      </c>
      <c r="Q859" s="6">
        <f>HYPERLINK("https://map.naver.com/p/search/오송읍 봉산리 1143", "지도Link")</f>
        <v/>
      </c>
      <c r="R859" s="6">
        <f>HYPERLINK("http://www.eum.go.kr/web/ar/lu/luLandDet.jsp?pnu=4311325031111430000&amp;isNoScr=script&amp;mode=search",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208.1</v>
      </c>
      <c r="V859" s="4" t="n">
        <v>266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1149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월세</t>
        </is>
      </c>
      <c r="G860" s="4" t="n">
        <v>2000</v>
      </c>
      <c r="H860" s="4" t="n">
        <v>120</v>
      </c>
      <c r="I860" s="4" t="n">
        <v>96</v>
      </c>
      <c r="J860" s="4" t="n">
        <v>29</v>
      </c>
      <c r="K860" s="5" t="n">
        <v>4.1</v>
      </c>
      <c r="L860" s="4" t="n">
        <v>96</v>
      </c>
      <c r="M860" s="4" t="n">
        <v>29</v>
      </c>
      <c r="N860" s="5" t="n">
        <v>4.1</v>
      </c>
      <c r="O860" s="3" t="inlineStr">
        <is>
          <t>10월 초순 입주가능한 주인세대</t>
        </is>
      </c>
      <c r="P860" s="6">
        <f>HYPERLINK("https://fin.land.naver.com/articles/2651498645", "매물Link")</f>
        <v/>
      </c>
      <c r="Q860" s="6">
        <f>HYPERLINK("https://map.naver.com/p/search/오송읍 봉산리 1149", "지도Link")</f>
        <v/>
      </c>
      <c r="R860" s="6">
        <f>HYPERLINK("http://www.eum.go.kr/web/ar/lu/luLandDet.jsp?pnu=4311325031111490000&amp;isNoScr=script&amp;mode=search", "토지이음")</f>
        <v/>
      </c>
      <c r="S860" s="3" t="inlineStr">
        <is>
          <t>오송1단지창조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1층 프랜차이즈 입점. 넓고 쾌적한 주인세대. 초등학교 인접</t>
        </is>
      </c>
      <c r="P861" s="6">
        <f>HYPERLINK("https://fin.land.naver.com/articles/2653940164",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대로변 태양광 설치 주인세대 입주 가능</t>
        </is>
      </c>
      <c r="P863" s="6">
        <f>HYPERLINK("https://fin.land.naver.com/articles/2655128525",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프렌즈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160000</v>
      </c>
      <c r="H864" s="4" t="n">
        <v>0</v>
      </c>
      <c r="I864" s="4" t="n">
        <v>247</v>
      </c>
      <c r="J864" s="4" t="n">
        <v>75</v>
      </c>
      <c r="K864" s="5" t="n">
        <v>2133.3</v>
      </c>
      <c r="L864" s="4" t="n">
        <v>492</v>
      </c>
      <c r="M864" s="4" t="n">
        <v>149</v>
      </c>
      <c r="N864" s="5" t="n">
        <v>1073.8</v>
      </c>
      <c r="O864" s="3" t="inlineStr">
        <is>
          <t>합리적인 금액으로 매수하기 좋은 매물입니다</t>
        </is>
      </c>
      <c r="P864" s="6">
        <f>HYPERLINK("https://fin.land.naver.com/articles/2652143636", "매물Link")</f>
        <v/>
      </c>
      <c r="Q864" s="6">
        <f>HYPERLINK("https://map.naver.com/p/search/오송읍 봉산리 1152", "지도Link")</f>
        <v/>
      </c>
      <c r="R864" s="6">
        <f>HYPERLINK("http://www.eum.go.kr/web/ar/lu/luLandDet.jsp?pnu=4311325031111520000&amp;isNoScr=script&amp;mode=search", "토지이음")</f>
        <v/>
      </c>
      <c r="S864" s="3" t="inlineStr">
        <is>
          <t>오송2단지창조</t>
        </is>
      </c>
      <c r="T864" s="4" t="n">
        <v>1</v>
      </c>
      <c r="U864" s="5" t="n">
        <v>339.2</v>
      </c>
      <c r="V864" s="4" t="n">
        <v>247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중로각지</t>
        </is>
      </c>
    </row>
    <row r="865">
      <c r="A865" s="3" t="inlineStr">
        <is>
          <t>오송읍 봉산리 1152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165000</v>
      </c>
      <c r="H865" s="4" t="n">
        <v>0</v>
      </c>
      <c r="I865" s="4" t="n">
        <v>247</v>
      </c>
      <c r="J865" s="4" t="n">
        <v>75</v>
      </c>
      <c r="K865" s="5" t="n">
        <v>2200</v>
      </c>
      <c r="L865" s="4" t="n">
        <v>492</v>
      </c>
      <c r="M865" s="4" t="n">
        <v>149</v>
      </c>
      <c r="N865" s="5" t="n">
        <v>1107.4</v>
      </c>
      <c r="O865" s="3" t="inlineStr">
        <is>
          <t>4차선 도로변 상가주택, 공실걱정 적은 위치</t>
        </is>
      </c>
      <c r="P865" s="6">
        <f>HYPERLINK("https://fin.land.naver.com/articles/2655277728", "매물Link")</f>
        <v/>
      </c>
      <c r="Q865" s="6">
        <f>HYPERLINK("https://map.naver.com/p/search/오송읍 봉산리 1152", "지도Link")</f>
        <v/>
      </c>
      <c r="R865" s="6">
        <f>HYPERLINK("http://www.eum.go.kr/web/ar/lu/luLandDet.jsp?pnu=4311325031111520000&amp;isNoScr=script&amp;mode=search", "토지이음")</f>
        <v/>
      </c>
      <c r="S865" s="3" t="inlineStr">
        <is>
          <t>광장</t>
        </is>
      </c>
      <c r="T865" s="4" t="n">
        <v>1</v>
      </c>
      <c r="U865" s="5" t="n">
        <v>339.2</v>
      </c>
      <c r="V865" s="4" t="n">
        <v>247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1157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단독</t>
        </is>
      </c>
      <c r="F867" s="3" t="inlineStr">
        <is>
          <t>전세</t>
        </is>
      </c>
      <c r="G867" s="4" t="n">
        <v>6000</v>
      </c>
      <c r="H867" s="4" t="n">
        <v>0</v>
      </c>
      <c r="I867" s="4" t="n">
        <v>141</v>
      </c>
      <c r="J867" s="4" t="n">
        <v>43</v>
      </c>
      <c r="K867" s="5" t="n">
        <v>139.5</v>
      </c>
      <c r="L867" s="4" t="n">
        <v>32</v>
      </c>
      <c r="M867" s="4" t="n">
        <v>10</v>
      </c>
      <c r="N867" s="5" t="n">
        <v>600</v>
      </c>
      <c r="O867" s="3" t="inlineStr">
        <is>
          <t>큰투베이 오송역세권으로 인프라좋고 주변편의시설확충 신축건물로 별도주차시설</t>
        </is>
      </c>
      <c r="P867" s="6">
        <f>HYPERLINK("https://fin.land.naver.com/articles/2650974716", "매물Link")</f>
        <v/>
      </c>
      <c r="Q867" s="6">
        <f>HYPERLINK("https://map.naver.com/p/search/오송읍 봉산리 1157", "지도Link")</f>
        <v/>
      </c>
      <c r="R867" s="6">
        <f>HYPERLINK("http://www.eum.go.kr/web/ar/lu/luLandDet.jsp?pnu=4311325031111570000&amp;isNoScr=script&amp;mode=search", "토지이음")</f>
        <v/>
      </c>
      <c r="S867" s="3" t="inlineStr">
        <is>
          <t>하림</t>
        </is>
      </c>
      <c r="T867" s="4" t="n">
        <v>1</v>
      </c>
      <c r="U867" s="5" t="n">
        <v>342.8</v>
      </c>
      <c r="V867" s="4" t="n">
        <v>275.5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정방형</t>
        </is>
      </c>
      <c r="AA867" s="3" t="inlineStr">
        <is>
          <t>중로각지</t>
        </is>
      </c>
    </row>
    <row r="868">
      <c r="A868" s="3" t="inlineStr">
        <is>
          <t>오송읍 봉산리 1157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0</t>
        </is>
      </c>
      <c r="E868" s="3" t="inlineStr">
        <is>
          <t>다가구</t>
        </is>
      </c>
      <c r="F868" s="3" t="inlineStr">
        <is>
          <t>월세</t>
        </is>
      </c>
      <c r="G868" s="4" t="n">
        <v>500</v>
      </c>
      <c r="H868" s="4" t="n">
        <v>51</v>
      </c>
      <c r="I868" s="4" t="n">
        <v>26</v>
      </c>
      <c r="J868" s="4" t="n">
        <v>8</v>
      </c>
      <c r="K868" s="5" t="n">
        <v>6.4</v>
      </c>
      <c r="L868" s="4" t="n">
        <v>26</v>
      </c>
      <c r="M868" s="4" t="n">
        <v>8</v>
      </c>
      <c r="N868" s="5" t="n">
        <v>6.4</v>
      </c>
      <c r="O868" s="3" t="inlineStr">
        <is>
          <t>귀한 원룸.11월초 입주 가능해요.</t>
        </is>
      </c>
      <c r="P868" s="6">
        <f>HYPERLINK("https://fin.land.naver.com/articles/2655871217", "매물Link")</f>
        <v/>
      </c>
      <c r="Q868" s="6">
        <f>HYPERLINK("https://map.naver.com/p/search/오송읍 봉산리 1157", "지도Link")</f>
        <v/>
      </c>
      <c r="R868" s="6">
        <f>HYPERLINK("http://www.eum.go.kr/web/ar/lu/luLandDet.jsp?pnu=4311325031111570000&amp;isNoScr=script&amp;mode=search", "토지이음")</f>
        <v/>
      </c>
      <c r="S868" s="3" t="inlineStr">
        <is>
          <t>이룸</t>
        </is>
      </c>
      <c r="T868" s="4" t="n">
        <v>1</v>
      </c>
      <c r="U868" s="5" t="n">
        <v>342.8</v>
      </c>
      <c r="V868" s="4" t="n">
        <v>275.5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정방형</t>
        </is>
      </c>
      <c r="AA868" s="3" t="inlineStr">
        <is>
          <t>중로각지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월세 안정적인 역세권 다가구주택. 오송역 인접. 공실없음</t>
        </is>
      </c>
      <c r="P869" s="6">
        <f>HYPERLINK("https://fin.land.naver.com/articles/2653754970",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135000</v>
      </c>
      <c r="H870" s="4" t="n">
        <v>0</v>
      </c>
      <c r="I870" s="4" t="n">
        <v>267</v>
      </c>
      <c r="J870" s="4" t="n">
        <v>81</v>
      </c>
      <c r="K870" s="5" t="n">
        <v>1666.7</v>
      </c>
      <c r="L870" s="4" t="n">
        <v>494</v>
      </c>
      <c r="M870" s="4" t="n">
        <v>149</v>
      </c>
      <c r="N870" s="5" t="n">
        <v>906</v>
      </c>
      <c r="O870" s="3" t="inlineStr">
        <is>
          <t>공실없이 임대중인 수익률 높은 건물</t>
        </is>
      </c>
      <c r="P870" s="6">
        <f>HYPERLINK("https://fin.land.naver.com/articles/2656356542",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오송1단지창조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실거주 가능한 귀한 매물임대도 가능</t>
        </is>
      </c>
      <c r="P872" s="6">
        <f>HYPERLINK("https://fin.land.naver.com/articles/2656439501",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오송2단지창조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단독</t>
        </is>
      </c>
      <c r="F873" s="3" t="inlineStr">
        <is>
          <t>매매</t>
        </is>
      </c>
      <c r="G873" s="4" t="n">
        <v>130000</v>
      </c>
      <c r="H873" s="4" t="n">
        <v>0</v>
      </c>
      <c r="I873" s="4" t="n">
        <v>240</v>
      </c>
      <c r="J873" s="4" t="n">
        <v>73</v>
      </c>
      <c r="K873" s="5" t="n">
        <v>1780.8</v>
      </c>
      <c r="L873" s="4" t="n">
        <v>494</v>
      </c>
      <c r="M873" s="4" t="n">
        <v>149</v>
      </c>
      <c r="N873" s="5" t="n">
        <v>872.5</v>
      </c>
      <c r="O873" s="3" t="inlineStr">
        <is>
          <t>조용한 수익형 건물 투자. 투자금 6억미만 수익률 7프로대</t>
        </is>
      </c>
      <c r="P873" s="6">
        <f>HYPERLINK("https://fin.land.naver.com/articles/2651861376",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오송미소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입주가능,월530만원,옥상사용가능,</t>
        </is>
      </c>
      <c r="P874" s="6">
        <f>HYPERLINK("https://fin.land.naver.com/articles/2651896607",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오송올래</t>
        </is>
      </c>
      <c r="T874" s="4" t="n">
        <v>2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1164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130000</v>
      </c>
      <c r="H875" s="4" t="n">
        <v>0</v>
      </c>
      <c r="I875" s="4" t="n">
        <v>267</v>
      </c>
      <c r="J875" s="4" t="n">
        <v>81</v>
      </c>
      <c r="K875" s="5" t="n">
        <v>1604.9</v>
      </c>
      <c r="L875" s="4" t="n">
        <v>494</v>
      </c>
      <c r="M875" s="4" t="n">
        <v>149</v>
      </c>
      <c r="N875" s="5" t="n">
        <v>872.5</v>
      </c>
      <c r="O875" s="3" t="inlineStr">
        <is>
          <t>추천매물.임대놓기 좋은 세대 구성으로 세대 공실없이 임대중인 건물</t>
        </is>
      </c>
      <c r="P875" s="6">
        <f>HYPERLINK("https://fin.land.naver.com/articles/2654013680", "매물Link")</f>
        <v/>
      </c>
      <c r="Q875" s="6">
        <f>HYPERLINK("https://map.naver.com/p/search/오송읍 봉산리 1164", "지도Link")</f>
        <v/>
      </c>
      <c r="R875" s="6">
        <f>HYPERLINK("http://www.eum.go.kr/web/ar/lu/luLandDet.jsp?pnu=4311325031111640000&amp;isNoScr=script&amp;mode=search", "토지이음")</f>
        <v/>
      </c>
      <c r="S875" s="3" t="inlineStr">
        <is>
          <t>오송2단지창조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1164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130000</v>
      </c>
      <c r="H876" s="4" t="n">
        <v>0</v>
      </c>
      <c r="I876" s="4" t="n">
        <v>267</v>
      </c>
      <c r="J876" s="4" t="n">
        <v>81</v>
      </c>
      <c r="K876" s="5" t="n">
        <v>1604.9</v>
      </c>
      <c r="L876" s="4" t="n">
        <v>494</v>
      </c>
      <c r="M876" s="4" t="n">
        <v>149</v>
      </c>
      <c r="N876" s="5" t="n">
        <v>872.5</v>
      </c>
      <c r="O876" s="3" t="inlineStr">
        <is>
          <t>상업지 오송역 모두 가까운 위치 좋은 상가주택</t>
        </is>
      </c>
      <c r="P876" s="6">
        <f>HYPERLINK("https://fin.land.naver.com/articles/2655925402", "매물Link")</f>
        <v/>
      </c>
      <c r="Q876" s="6">
        <f>HYPERLINK("https://map.naver.com/p/search/오송읍 봉산리 1164", "지도Link")</f>
        <v/>
      </c>
      <c r="R876" s="6">
        <f>HYPERLINK("http://www.eum.go.kr/web/ar/lu/luLandDet.jsp?pnu=4311325031111640000&amp;isNoScr=script&amp;mode=search", "토지이음")</f>
        <v/>
      </c>
      <c r="S876" s="3" t="inlineStr">
        <is>
          <t>프렌즈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145000</v>
      </c>
      <c r="H877" s="4" t="n">
        <v>0</v>
      </c>
      <c r="I877" s="4" t="n">
        <v>267</v>
      </c>
      <c r="J877" s="4" t="n">
        <v>81</v>
      </c>
      <c r="K877" s="5" t="n">
        <v>1790.1</v>
      </c>
      <c r="L877" s="4" t="n">
        <v>491</v>
      </c>
      <c r="M877" s="4" t="n">
        <v>149</v>
      </c>
      <c r="N877" s="5" t="n">
        <v>973.2</v>
      </c>
      <c r="O877" s="3" t="inlineStr">
        <is>
          <t>테라스, 층간소음 없는 단독옥상, 완벽한 주인세대</t>
        </is>
      </c>
      <c r="P877" s="6">
        <f>HYPERLINK("https://fin.land.naver.com/articles/2653988102", "매물Link")</f>
        <v/>
      </c>
      <c r="Q877" s="6">
        <f>HYPERLINK("https://map.naver.com/p/search/오송읍 봉산리 1166", "지도Link")</f>
        <v/>
      </c>
      <c r="R877" s="6">
        <f>HYPERLINK("http://www.eum.go.kr/web/ar/lu/luLandDet.jsp?pnu=4311325031111660000&amp;isNoScr=script&amp;mode=search",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206.3</v>
      </c>
      <c r="V877" s="4" t="n">
        <v>267.5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단독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26년 신축건물, 오송역 10분, 임대완료 현월세694만원</t>
        </is>
      </c>
      <c r="P878" s="6">
        <f>HYPERLINK("https://fin.land.naver.com/articles/2653434418",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153000</v>
      </c>
      <c r="H879" s="4" t="n">
        <v>0</v>
      </c>
      <c r="I879" s="4" t="n">
        <v>267</v>
      </c>
      <c r="J879" s="4" t="n">
        <v>81</v>
      </c>
      <c r="K879" s="5" t="n">
        <v>1888.9</v>
      </c>
      <c r="L879" s="4" t="n">
        <v>494</v>
      </c>
      <c r="M879" s="4" t="n">
        <v>149</v>
      </c>
      <c r="N879" s="5" t="n">
        <v>1026.8</v>
      </c>
      <c r="O879" s="3" t="inlineStr">
        <is>
          <t>2026 따끈한 신축건물 즉시입주</t>
        </is>
      </c>
      <c r="P879" s="6">
        <f>HYPERLINK("https://fin.land.naver.com/articles/2655086416", "매물Link")</f>
        <v/>
      </c>
      <c r="Q879" s="6">
        <f>HYPERLINK("https://map.naver.com/p/search/오송읍 봉산리 1167", "지도Link")</f>
        <v/>
      </c>
      <c r="R879" s="6">
        <f>HYPERLINK("http://www.eum.go.kr/web/ar/lu/luLandDet.jsp?pnu=4311325031111670000&amp;isNoScr=script&amp;mode=search", "토지이음")</f>
        <v/>
      </c>
      <c r="S879" s="3" t="inlineStr">
        <is>
          <t>프렌즈</t>
        </is>
      </c>
      <c r="T879" s="4" t="n">
        <v>1</v>
      </c>
      <c r="U879" s="5" t="n">
        <v>206.3</v>
      </c>
      <c r="V879" s="4" t="n">
        <v>267.6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0</v>
      </c>
      <c r="J881" s="4" t="n">
        <v>0</v>
      </c>
      <c r="K881" s="5" t="n">
        <v>0</v>
      </c>
      <c r="L881" s="4" t="n">
        <v>30</v>
      </c>
      <c r="M881" s="4" t="n">
        <v>9</v>
      </c>
      <c r="N881" s="5" t="n">
        <v>6.1</v>
      </c>
      <c r="O881" s="3" t="inlineStr">
        <is>
          <t>10월하순 입주가능한 신축 원룸</t>
        </is>
      </c>
      <c r="P881" s="6">
        <f>HYPERLINK("https://fin.land.naver.com/articles/2651014921",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1168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29</v>
      </c>
      <c r="M882" s="4" t="n">
        <v>9</v>
      </c>
      <c r="N882" s="5" t="n">
        <v>5.6</v>
      </c>
      <c r="O882" s="3" t="inlineStr">
        <is>
          <t>10월 입주가능 깔끔한 분리형 원룸 내부 컨디션 최상</t>
        </is>
      </c>
      <c r="P882" s="6">
        <f>HYPERLINK("https://fin.land.naver.com/articles/2652375718", "매물Link")</f>
        <v/>
      </c>
      <c r="Q882" s="6">
        <f>HYPERLINK("https://map.naver.com/p/search/오송읍 봉산리 1168", "지도Link")</f>
        <v/>
      </c>
      <c r="R882" s="6">
        <f>HYPERLINK("http://www.eum.go.kr/web/ar/lu/luLandDet.jsp?pnu=4311325031111680000&amp;isNoScr=script&amp;mode=search",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218.7</v>
      </c>
      <c r="V882" s="4" t="n">
        <v>261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다가구</t>
        </is>
      </c>
      <c r="F883" s="3" t="inlineStr">
        <is>
          <t>월세</t>
        </is>
      </c>
      <c r="G883" s="4" t="n">
        <v>3000</v>
      </c>
      <c r="H883" s="4" t="n">
        <v>115</v>
      </c>
      <c r="I883" s="4" t="n">
        <v>103</v>
      </c>
      <c r="J883" s="4" t="n">
        <v>31</v>
      </c>
      <c r="K883" s="5" t="n">
        <v>3.7</v>
      </c>
      <c r="L883" s="4" t="n">
        <v>89</v>
      </c>
      <c r="M883" s="4" t="n">
        <v>27</v>
      </c>
      <c r="N883" s="5" t="n">
        <v>4.3</v>
      </c>
      <c r="O883" s="3" t="inlineStr">
        <is>
          <t>즉시입주 가능 주인세대, 청소완료, 주거환경 양호</t>
        </is>
      </c>
      <c r="P883" s="6">
        <f>HYPERLINK("https://fin.land.naver.com/articles/2652296317", "매물Link")</f>
        <v/>
      </c>
      <c r="Q883" s="6">
        <f>HYPERLINK("https://map.naver.com/p/search/오송읍 봉산리 1183", "지도Link")</f>
        <v/>
      </c>
      <c r="R883" s="6">
        <f>HYPERLINK("http://www.eum.go.kr/web/ar/lu/luLandDet.jsp?pnu=4311325031111830000&amp;isNoScr=script&amp;mode=search", "토지이음")</f>
        <v/>
      </c>
      <c r="S883" s="3" t="inlineStr">
        <is>
          <t>광장</t>
        </is>
      </c>
      <c r="T883" s="4" t="n">
        <v>1</v>
      </c>
      <c r="U883" s="5" t="n">
        <v>250.2</v>
      </c>
      <c r="V883" s="4" t="n">
        <v>263.7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1183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다가구</t>
        </is>
      </c>
      <c r="F884" s="3" t="inlineStr">
        <is>
          <t>월세</t>
        </is>
      </c>
      <c r="G884" s="4" t="n">
        <v>3000</v>
      </c>
      <c r="H884" s="4" t="n">
        <v>110</v>
      </c>
      <c r="I884" s="4" t="n">
        <v>103</v>
      </c>
      <c r="J884" s="4" t="n">
        <v>31</v>
      </c>
      <c r="K884" s="5" t="n">
        <v>3.5</v>
      </c>
      <c r="L884" s="4" t="n">
        <v>89</v>
      </c>
      <c r="M884" s="4" t="n">
        <v>27</v>
      </c>
      <c r="N884" s="5" t="n">
        <v>4.1</v>
      </c>
      <c r="O884" s="3" t="inlineStr">
        <is>
          <t>풀옵션 주인세대 월세</t>
        </is>
      </c>
      <c r="P884" s="6">
        <f>HYPERLINK("https://fin.land.naver.com/articles/2650903679", "매물Link")</f>
        <v/>
      </c>
      <c r="Q884" s="6">
        <f>HYPERLINK("https://map.naver.com/p/search/오송읍 봉산리 1183", "지도Link")</f>
        <v/>
      </c>
      <c r="R884" s="6">
        <f>HYPERLINK("http://www.eum.go.kr/web/ar/lu/luLandDet.jsp?pnu=4311325031111830000&amp;isNoScr=script&amp;mode=search", "토지이음")</f>
        <v/>
      </c>
      <c r="S884" s="3" t="inlineStr">
        <is>
          <t>오송좋은날</t>
        </is>
      </c>
      <c r="T884" s="4" t="n">
        <v>1</v>
      </c>
      <c r="U884" s="5" t="n">
        <v>250.2</v>
      </c>
      <c r="V884" s="4" t="n">
        <v>263.7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1186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1000</v>
      </c>
      <c r="H885" s="4" t="n">
        <v>61</v>
      </c>
      <c r="I885" s="4" t="n">
        <v>62</v>
      </c>
      <c r="J885" s="4" t="n">
        <v>19</v>
      </c>
      <c r="K885" s="5" t="n">
        <v>3.2</v>
      </c>
      <c r="L885" s="4" t="n">
        <v>33</v>
      </c>
      <c r="M885" s="4" t="n">
        <v>10</v>
      </c>
      <c r="N885" s="5" t="n">
        <v>6.1</v>
      </c>
      <c r="O885" s="3" t="inlineStr">
        <is>
          <t>입주일 조율가능,신축 예쁜 투베이,아일랜드식탁옵션</t>
        </is>
      </c>
      <c r="P885" s="6">
        <f>HYPERLINK("https://fin.land.naver.com/articles/2656223509", "매물Link")</f>
        <v/>
      </c>
      <c r="Q885" s="6">
        <f>HYPERLINK("https://map.naver.com/p/search/오송읍 봉산리 1186", "지도Link")</f>
        <v/>
      </c>
      <c r="R885" s="6">
        <f>HYPERLINK("http://www.eum.go.kr/web/ar/lu/luLandDet.jsp?pnu=4311325031111860000&amp;isNoScr=script&amp;mode=search",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236</v>
      </c>
      <c r="V885" s="4" t="n">
        <v>269.8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전세</t>
        </is>
      </c>
      <c r="G886" s="4" t="n">
        <v>5000</v>
      </c>
      <c r="H886" s="4" t="n">
        <v>0</v>
      </c>
      <c r="I886" s="4" t="n">
        <v>150</v>
      </c>
      <c r="J886" s="4" t="n">
        <v>45</v>
      </c>
      <c r="K886" s="5" t="n">
        <v>111.1</v>
      </c>
      <c r="L886" s="4" t="n">
        <v>30</v>
      </c>
      <c r="M886" s="4" t="n">
        <v>9</v>
      </c>
      <c r="N886" s="5" t="n">
        <v>555.6</v>
      </c>
      <c r="O886" s="3" t="inlineStr">
        <is>
          <t>투베이 신축건물로 깨끗한집 오송역세권으로 인프라좋고 주변편의시설확충</t>
        </is>
      </c>
      <c r="P886" s="6">
        <f>HYPERLINK("https://fin.land.naver.com/articles/2652549404", "매물Link")</f>
        <v/>
      </c>
      <c r="Q886" s="6">
        <f>HYPERLINK("https://map.naver.com/p/search/오송읍 봉산리 1193", "지도Link")</f>
        <v/>
      </c>
      <c r="R886" s="6">
        <f>HYPERLINK("http://www.eum.go.kr/web/ar/lu/luLandDet.jsp?pnu=4311325031111930000&amp;isNoScr=script&amp;mode=search",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236</v>
      </c>
      <c r="V886" s="4" t="n">
        <v>265.3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3면코너 건물로 따스한 햇살이 잘드는 세대</t>
        </is>
      </c>
      <c r="P887" s="6">
        <f>HYPERLINK("https://fin.land.naver.com/articles/2654014682",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오송2단지창조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150000</v>
      </c>
      <c r="H889" s="4" t="n">
        <v>0</v>
      </c>
      <c r="I889" s="4" t="n">
        <v>259</v>
      </c>
      <c r="J889" s="4" t="n">
        <v>78</v>
      </c>
      <c r="K889" s="5" t="n">
        <v>1923.1</v>
      </c>
      <c r="L889" s="4" t="n">
        <v>486</v>
      </c>
      <c r="M889" s="4" t="n">
        <v>147</v>
      </c>
      <c r="N889" s="5" t="n">
        <v>1020.4</v>
      </c>
      <c r="O889" s="3" t="inlineStr">
        <is>
          <t>3면 코너입지 상가 주인세대까지 임대완료</t>
        </is>
      </c>
      <c r="P889" s="6">
        <f>HYPERLINK("https://fin.land.naver.com/articles/2655925497",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1194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단독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259</v>
      </c>
      <c r="J890" s="4" t="n">
        <v>78</v>
      </c>
      <c r="K890" s="5" t="n">
        <v>1859</v>
      </c>
      <c r="L890" s="4" t="n">
        <v>486</v>
      </c>
      <c r="M890" s="4" t="n">
        <v>147</v>
      </c>
      <c r="N890" s="5" t="n">
        <v>986.4</v>
      </c>
      <c r="O890" s="3" t="inlineStr">
        <is>
          <t>통매매 역세권의  인프라좋고 주변편의시설확충 신축건물로 가격절충함</t>
        </is>
      </c>
      <c r="P890" s="6">
        <f>HYPERLINK("https://fin.land.naver.com/articles/2650969297", "매물Link")</f>
        <v/>
      </c>
      <c r="Q890" s="6">
        <f>HYPERLINK("https://map.naver.com/p/search/오송읍 봉산리 1194", "지도Link")</f>
        <v/>
      </c>
      <c r="R890" s="6">
        <f>HYPERLINK("http://www.eum.go.kr/web/ar/lu/luLandDet.jsp?pnu=4311325031111940000&amp;isNoScr=script&amp;mode=search", "토지이음")</f>
        <v/>
      </c>
      <c r="S890" s="3" t="inlineStr">
        <is>
          <t>하림</t>
        </is>
      </c>
      <c r="T890" s="4" t="n">
        <v>1</v>
      </c>
      <c r="U890" s="5" t="n">
        <v>250.2</v>
      </c>
      <c r="V890" s="4" t="n">
        <v>259.1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1194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45</v>
      </c>
      <c r="I891" s="4" t="n">
        <v>131</v>
      </c>
      <c r="J891" s="4" t="n">
        <v>40</v>
      </c>
      <c r="K891" s="5" t="n">
        <v>1.1</v>
      </c>
      <c r="L891" s="4" t="n">
        <v>14</v>
      </c>
      <c r="M891" s="4" t="n">
        <v>4</v>
      </c>
      <c r="N891" s="5" t="n">
        <v>11.2</v>
      </c>
      <c r="O891" s="3" t="inlineStr">
        <is>
          <t>원룸 오송역세권으로 인프라좋고 주변편의시설확충  대형무료주차장근처</t>
        </is>
      </c>
      <c r="P891" s="6">
        <f>HYPERLINK("https://fin.land.naver.com/articles/2654518835", "매물Link")</f>
        <v/>
      </c>
      <c r="Q891" s="6">
        <f>HYPERLINK("https://map.naver.com/p/search/오송읍 봉산리 1194", "지도Link")</f>
        <v/>
      </c>
      <c r="R891" s="6">
        <f>HYPERLINK("http://www.eum.go.kr/web/ar/lu/luLandDet.jsp?pnu=4311325031111940000&amp;isNoScr=script&amp;mode=search", "토지이음")</f>
        <v/>
      </c>
      <c r="S891" s="3" t="inlineStr">
        <is>
          <t>하림</t>
        </is>
      </c>
      <c r="T891" s="4" t="n">
        <v>1</v>
      </c>
      <c r="U891" s="5" t="n">
        <v>250.2</v>
      </c>
      <c r="V891" s="4" t="n">
        <v>259.1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1194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다가구</t>
        </is>
      </c>
      <c r="F892" s="3" t="inlineStr">
        <is>
          <t>월세</t>
        </is>
      </c>
      <c r="G892" s="4" t="n">
        <v>500</v>
      </c>
      <c r="H892" s="4" t="n">
        <v>55</v>
      </c>
      <c r="I892" s="4" t="n">
        <v>131</v>
      </c>
      <c r="J892" s="4" t="n">
        <v>40</v>
      </c>
      <c r="K892" s="5" t="n">
        <v>1.4</v>
      </c>
      <c r="L892" s="4" t="n">
        <v>28</v>
      </c>
      <c r="M892" s="4" t="n">
        <v>8</v>
      </c>
      <c r="N892" s="5" t="n">
        <v>6.9</v>
      </c>
      <c r="O892" s="3" t="inlineStr">
        <is>
          <t>투베이 오송역세권10분거리 인프라좋고 주변편의시설확충 공원 산책로</t>
        </is>
      </c>
      <c r="P892" s="6">
        <f>HYPERLINK("https://fin.land.naver.com/articles/2652697463", "매물Link")</f>
        <v/>
      </c>
      <c r="Q892" s="6">
        <f>HYPERLINK("https://map.naver.com/p/search/오송읍 봉산리 1194", "지도Link")</f>
        <v/>
      </c>
      <c r="R892" s="6">
        <f>HYPERLINK("http://www.eum.go.kr/web/ar/lu/luLandDet.jsp?pnu=4311325031111940000&amp;isNoScr=script&amp;mode=search", "토지이음")</f>
        <v/>
      </c>
      <c r="S892" s="3" t="inlineStr">
        <is>
          <t>하림</t>
        </is>
      </c>
      <c r="T892" s="4" t="n">
        <v>1</v>
      </c>
      <c r="U892" s="5" t="n">
        <v>250.2</v>
      </c>
      <c r="V892" s="4" t="n">
        <v>259.1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1198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55</v>
      </c>
      <c r="I893" s="4" t="n">
        <v>0</v>
      </c>
      <c r="J893" s="4" t="n">
        <v>0</v>
      </c>
      <c r="K893" s="5" t="n">
        <v>0</v>
      </c>
      <c r="L893" s="4" t="n">
        <v>27</v>
      </c>
      <c r="M893" s="4" t="n">
        <v>8</v>
      </c>
      <c r="N893" s="5" t="n">
        <v>6.9</v>
      </c>
      <c r="O893" s="3" t="inlineStr">
        <is>
          <t>nan</t>
        </is>
      </c>
      <c r="P893" s="6">
        <f>HYPERLINK("https://fin.land.naver.com/articles/2655195412", "매물Link")</f>
        <v/>
      </c>
      <c r="Q893" s="6">
        <f>HYPERLINK("https://map.naver.com/p/search/오송읍 봉산리 1198", "지도Link")</f>
        <v/>
      </c>
      <c r="R893" s="6">
        <f>HYPERLINK("http://www.eum.go.kr/web/ar/lu/luLandDet.jsp?pnu=4311325031111980000&amp;isNoScr=script&amp;mode=search", "토지이음")</f>
        <v/>
      </c>
      <c r="S893" s="3" t="inlineStr">
        <is>
          <t>오송메카</t>
        </is>
      </c>
      <c r="T893" s="4" t="n">
        <v>1</v>
      </c>
      <c r="U893" s="5" t="n">
        <v>206.3</v>
      </c>
      <c r="V893" s="4" t="n">
        <v>265.3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1199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단독</t>
        </is>
      </c>
      <c r="F894" s="3" t="inlineStr">
        <is>
          <t>전세</t>
        </is>
      </c>
      <c r="G894" s="4" t="n">
        <v>17000</v>
      </c>
      <c r="H894" s="4" t="n">
        <v>0</v>
      </c>
      <c r="I894" s="4" t="n">
        <v>107</v>
      </c>
      <c r="J894" s="4" t="n">
        <v>32</v>
      </c>
      <c r="K894" s="5" t="n">
        <v>531.2</v>
      </c>
      <c r="L894" s="4" t="n">
        <v>83</v>
      </c>
      <c r="M894" s="4" t="n">
        <v>25</v>
      </c>
      <c r="N894" s="5" t="n">
        <v>680</v>
      </c>
      <c r="O894" s="3" t="inlineStr">
        <is>
          <t>오송역과 가까운 3룸전세</t>
        </is>
      </c>
      <c r="P894" s="6">
        <f>HYPERLINK("https://fin.land.naver.com/articles/2652510677", "매물Link")</f>
        <v/>
      </c>
      <c r="Q894" s="6">
        <f>HYPERLINK("https://map.naver.com/p/search/오송읍 봉산리 1199", "지도Link")</f>
        <v/>
      </c>
      <c r="R894" s="6">
        <f>HYPERLINK("http://www.eum.go.kr/web/ar/lu/luLandDet.jsp?pnu=4311325031111990000&amp;isNoScr=script&amp;mode=search", "토지이음")</f>
        <v/>
      </c>
      <c r="S894" s="3" t="inlineStr">
        <is>
          <t>세종오송</t>
        </is>
      </c>
      <c r="T894" s="4" t="n">
        <v>1</v>
      </c>
      <c r="U894" s="5" t="n">
        <v>305.4</v>
      </c>
      <c r="V894" s="4" t="n">
        <v>258.7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1200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3</t>
        </is>
      </c>
      <c r="E895" s="3" t="inlineStr">
        <is>
          <t>일반원룸</t>
        </is>
      </c>
      <c r="F895" s="3" t="inlineStr">
        <is>
          <t>월세</t>
        </is>
      </c>
      <c r="G895" s="4" t="n">
        <v>300</v>
      </c>
      <c r="H895" s="4" t="n">
        <v>51</v>
      </c>
      <c r="I895" s="4" t="n">
        <v>0</v>
      </c>
      <c r="J895" s="4" t="n">
        <v>0</v>
      </c>
      <c r="K895" s="5" t="n">
        <v>0</v>
      </c>
      <c r="L895" s="4" t="n">
        <v>26</v>
      </c>
      <c r="M895" s="4" t="n">
        <v>8</v>
      </c>
      <c r="N895" s="5" t="n">
        <v>6.4</v>
      </c>
      <c r="O895" s="3" t="inlineStr">
        <is>
          <t>ㄸr봉 화이트톤 수납 확실한 주방분리형 원룸</t>
        </is>
      </c>
      <c r="P895" s="6">
        <f>HYPERLINK("https://fin.land.naver.com/articles/2656437987", "매물Link")</f>
        <v/>
      </c>
      <c r="Q895" s="6">
        <f>HYPERLINK("https://map.naver.com/p/search/오송읍 봉산리 1200", "지도Link")</f>
        <v/>
      </c>
      <c r="R895" s="6">
        <f>HYPERLINK("http://www.eum.go.kr/web/ar/lu/luLandDet.jsp?pnu=4311325031112000000&amp;isNoScr=script&amp;mode=search", "토지이음")</f>
        <v/>
      </c>
      <c r="S895" s="3" t="inlineStr">
        <is>
          <t>오송프렌즈</t>
        </is>
      </c>
      <c r="T895" s="4" t="n">
        <v>1</v>
      </c>
      <c r="U895" s="5" t="n">
        <v>206.3</v>
      </c>
      <c r="V895" s="4" t="n">
        <v>264.5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관리잘된 신축 풀옵션 다가구, A급 가전제품 주인세대, 콩자갈 시공</t>
        </is>
      </c>
      <c r="P896" s="6">
        <f>HYPERLINK("https://fin.land.naver.com/articles/2652538057",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세종늘푸름</t>
        </is>
      </c>
      <c r="T896" s="4" t="n">
        <v>2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오송역세권. 가치상승 기대. 관리 잘 된 상가주택매매</t>
        </is>
      </c>
      <c r="P897" s="6">
        <f>HYPERLINK("https://fin.land.naver.com/articles/2651061208",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노른자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1202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150000</v>
      </c>
      <c r="H898" s="4" t="n">
        <v>0</v>
      </c>
      <c r="I898" s="4" t="n">
        <v>264</v>
      </c>
      <c r="J898" s="4" t="n">
        <v>80</v>
      </c>
      <c r="K898" s="5" t="n">
        <v>1875</v>
      </c>
      <c r="L898" s="4" t="n">
        <v>425</v>
      </c>
      <c r="M898" s="4" t="n">
        <v>129</v>
      </c>
      <c r="N898" s="5" t="n">
        <v>1162.8</v>
      </c>
      <c r="O898" s="3" t="inlineStr">
        <is>
          <t>nan</t>
        </is>
      </c>
      <c r="P898" s="6">
        <f>HYPERLINK("https://fin.land.naver.com/articles/2650894954", "매물Link")</f>
        <v/>
      </c>
      <c r="Q898" s="6">
        <f>HYPERLINK("https://map.naver.com/p/search/오송읍 봉산리 1202", "지도Link")</f>
        <v/>
      </c>
      <c r="R898" s="6">
        <f>HYPERLINK("http://www.eum.go.kr/web/ar/lu/luLandDet.jsp?pnu=4311325031112020000&amp;isNoScr=script&amp;mode=search", "토지이음")</f>
        <v/>
      </c>
      <c r="S898" s="3" t="inlineStr">
        <is>
          <t>미래n</t>
        </is>
      </c>
      <c r="T898" s="4" t="n">
        <v>1</v>
      </c>
      <c r="U898" s="5" t="n">
        <v>206.3</v>
      </c>
      <c r="V898" s="4" t="n">
        <v>264.9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1202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155000</v>
      </c>
      <c r="H899" s="4" t="n">
        <v>0</v>
      </c>
      <c r="I899" s="4" t="n">
        <v>264</v>
      </c>
      <c r="J899" s="4" t="n">
        <v>80</v>
      </c>
      <c r="K899" s="5" t="n">
        <v>1937.5</v>
      </c>
      <c r="L899" s="4" t="n">
        <v>425</v>
      </c>
      <c r="M899" s="4" t="n">
        <v>129</v>
      </c>
      <c r="N899" s="5" t="n">
        <v>1201.6</v>
      </c>
      <c r="O899" s="3" t="inlineStr">
        <is>
          <t>오송역 인근 내부 시설 및 가전 가구 풀 옵션  공실 적은 인기 단독주택</t>
        </is>
      </c>
      <c r="P899" s="6">
        <f>HYPERLINK("https://fin.land.naver.com/articles/2651983794", "매물Link")</f>
        <v/>
      </c>
      <c r="Q899" s="6">
        <f>HYPERLINK("https://map.naver.com/p/search/오송읍 봉산리 1202", "지도Link")</f>
        <v/>
      </c>
      <c r="R899" s="6">
        <f>HYPERLINK("http://www.eum.go.kr/web/ar/lu/luLandDet.jsp?pnu=4311325031112020000&amp;isNoScr=script&amp;mode=search", "토지이음")</f>
        <v/>
      </c>
      <c r="S899" s="3" t="inlineStr">
        <is>
          <t>오송퍼스트영웅</t>
        </is>
      </c>
      <c r="T899" s="4" t="n">
        <v>3</v>
      </c>
      <c r="U899" s="5" t="n">
        <v>206.3</v>
      </c>
      <c r="V899" s="4" t="n">
        <v>264.9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1202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145000</v>
      </c>
      <c r="H900" s="4" t="n">
        <v>0</v>
      </c>
      <c r="I900" s="4" t="n">
        <v>264</v>
      </c>
      <c r="J900" s="4" t="n">
        <v>80</v>
      </c>
      <c r="K900" s="5" t="n">
        <v>1812.5</v>
      </c>
      <c r="L900" s="4" t="n">
        <v>425</v>
      </c>
      <c r="M900" s="4" t="n">
        <v>129</v>
      </c>
      <c r="N900" s="5" t="n">
        <v>1124</v>
      </c>
      <c r="O900" s="3" t="inlineStr">
        <is>
          <t>오송역 도보권 신축 풀옵션 상가주택 급매 수익율 좋아요</t>
        </is>
      </c>
      <c r="P900" s="6">
        <f>HYPERLINK("https://fin.land.naver.com/articles/2654610289", "매물Link")</f>
        <v/>
      </c>
      <c r="Q900" s="6">
        <f>HYPERLINK("https://map.naver.com/p/search/오송읍 봉산리 1202", "지도Link")</f>
        <v/>
      </c>
      <c r="R900" s="6">
        <f>HYPERLINK("http://www.eum.go.kr/web/ar/lu/luLandDet.jsp?pnu=4311325031112020000&amp;isNoScr=script&amp;mode=search", "토지이음")</f>
        <v/>
      </c>
      <c r="S900" s="3" t="inlineStr">
        <is>
          <t>아임</t>
        </is>
      </c>
      <c r="T900" s="4" t="n">
        <v>1</v>
      </c>
      <c r="U900" s="5" t="n">
        <v>206.3</v>
      </c>
      <c r="V900" s="4" t="n">
        <v>264.9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1202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155000</v>
      </c>
      <c r="H901" s="4" t="n">
        <v>0</v>
      </c>
      <c r="I901" s="4" t="n">
        <v>264</v>
      </c>
      <c r="J901" s="4" t="n">
        <v>80</v>
      </c>
      <c r="K901" s="5" t="n">
        <v>1937.5</v>
      </c>
      <c r="L901" s="4" t="n">
        <v>425</v>
      </c>
      <c r="M901" s="4" t="n">
        <v>129</v>
      </c>
      <c r="N901" s="5" t="n">
        <v>1201.6</v>
      </c>
      <c r="O901" s="3" t="inlineStr">
        <is>
          <t>KTX 오송역 도보 5분. 월700만. 즉시 수익 가능한 매물</t>
        </is>
      </c>
      <c r="P901" s="6">
        <f>HYPERLINK("https://fin.land.naver.com/articles/2653394596", "매물Link")</f>
        <v/>
      </c>
      <c r="Q901" s="6">
        <f>HYPERLINK("https://map.naver.com/p/search/오송읍 봉산리 1202", "지도Link")</f>
        <v/>
      </c>
      <c r="R901" s="6">
        <f>HYPERLINK("http://www.eum.go.kr/web/ar/lu/luLandDet.jsp?pnu=4311325031112020000&amp;isNoScr=script&amp;mode=search", "토지이음")</f>
        <v/>
      </c>
      <c r="S901" s="3" t="inlineStr">
        <is>
          <t>당근플러스</t>
        </is>
      </c>
      <c r="T901" s="4" t="n">
        <v>1</v>
      </c>
      <c r="U901" s="5" t="n">
        <v>206.3</v>
      </c>
      <c r="V901" s="4" t="n">
        <v>264.9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1202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145000</v>
      </c>
      <c r="H902" s="4" t="n">
        <v>0</v>
      </c>
      <c r="I902" s="4" t="n">
        <v>264</v>
      </c>
      <c r="J902" s="4" t="n">
        <v>80</v>
      </c>
      <c r="K902" s="5" t="n">
        <v>1812.5</v>
      </c>
      <c r="L902" s="4" t="n">
        <v>425</v>
      </c>
      <c r="M902" s="4" t="n">
        <v>129</v>
      </c>
      <c r="N902" s="5" t="n">
        <v>1124</v>
      </c>
      <c r="O902" s="3" t="inlineStr">
        <is>
          <t>원룸촌 중앙에 위치한 조망권과 수익률 좋은 남향 건물</t>
        </is>
      </c>
      <c r="P902" s="6">
        <f>HYPERLINK("https://fin.land.naver.com/articles/2653090954", "매물Link")</f>
        <v/>
      </c>
      <c r="Q902" s="6">
        <f>HYPERLINK("https://map.naver.com/p/search/오송읍 봉산리 1202", "지도Link")</f>
        <v/>
      </c>
      <c r="R902" s="6">
        <f>HYPERLINK("http://www.eum.go.kr/web/ar/lu/luLandDet.jsp?pnu=4311325031112020000&amp;isNoScr=script&amp;mode=search", "토지이음")</f>
        <v/>
      </c>
      <c r="S902" s="3" t="inlineStr">
        <is>
          <t>아시아</t>
        </is>
      </c>
      <c r="T902" s="4" t="n">
        <v>1</v>
      </c>
      <c r="U902" s="5" t="n">
        <v>206.3</v>
      </c>
      <c r="V902" s="4" t="n">
        <v>264.9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1215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월세</t>
        </is>
      </c>
      <c r="G903" s="4" t="n">
        <v>1000</v>
      </c>
      <c r="H903" s="4" t="n">
        <v>55</v>
      </c>
      <c r="I903" s="4" t="n">
        <v>137</v>
      </c>
      <c r="J903" s="4" t="n">
        <v>41</v>
      </c>
      <c r="K903" s="5" t="n">
        <v>1.3</v>
      </c>
      <c r="L903" s="4" t="n">
        <v>33</v>
      </c>
      <c r="M903" s="4" t="n">
        <v>10</v>
      </c>
      <c r="N903" s="5" t="n">
        <v>5.5</v>
      </c>
      <c r="O903" s="3" t="inlineStr">
        <is>
          <t>신축투베이 오송역세권10분거리  인프라좋고 주변 편의시설확충 공원산책로</t>
        </is>
      </c>
      <c r="P903" s="6">
        <f>HYPERLINK("https://fin.land.naver.com/articles/2652407860", "매물Link")</f>
        <v/>
      </c>
      <c r="Q903" s="6">
        <f>HYPERLINK("https://map.naver.com/p/search/오송읍 봉산리 1215", "지도Link")</f>
        <v/>
      </c>
      <c r="R903" s="6">
        <f>HYPERLINK("http://www.eum.go.kr/web/ar/lu/luLandDet.jsp?pnu=4311325031112150000&amp;isNoScr=script&amp;mode=search",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339.2</v>
      </c>
      <c r="V903" s="4" t="n">
        <v>270.1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1223</t>
        </is>
      </c>
      <c r="B904" s="3" t="inlineStr">
        <is>
          <t>준주거지역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다가구</t>
        </is>
      </c>
      <c r="F904" s="3" t="inlineStr">
        <is>
          <t>매매</t>
        </is>
      </c>
      <c r="G904" s="4" t="n">
        <v>310000</v>
      </c>
      <c r="H904" s="4" t="n">
        <v>0</v>
      </c>
      <c r="I904" s="4" t="n">
        <v>412</v>
      </c>
      <c r="J904" s="4" t="n">
        <v>125</v>
      </c>
      <c r="K904" s="5" t="n">
        <v>2480</v>
      </c>
      <c r="L904" s="4" t="n">
        <v>818</v>
      </c>
      <c r="M904" s="4" t="n">
        <v>247</v>
      </c>
      <c r="N904" s="5" t="n">
        <v>1255.1</v>
      </c>
      <c r="O904" s="3" t="inlineStr">
        <is>
          <t>오송역 도보10분 산단인근 19세대 통으로 인수 신축 역세권 인프라</t>
        </is>
      </c>
      <c r="P904" s="6">
        <f>HYPERLINK("https://fin.land.naver.com/articles/2655361457", "매물Link")</f>
        <v/>
      </c>
      <c r="Q904" s="6">
        <f>HYPERLINK("https://map.naver.com/p/search/오송읍 봉산리 1223", "지도Link")</f>
        <v/>
      </c>
      <c r="R904" s="6">
        <f>HYPERLINK("http://www.eum.go.kr/web/ar/lu/luLandDet.jsp?pnu=4311325031112230000&amp;isNoScr=script&amp;mode=search",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611.9</v>
      </c>
      <c r="V904" s="4" t="n">
        <v>412</v>
      </c>
      <c r="W904" s="3" t="inlineStr">
        <is>
          <t>지정되지않음</t>
        </is>
      </c>
      <c r="X904" s="3" t="inlineStr">
        <is>
          <t>상업나지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1223</t>
        </is>
      </c>
      <c r="B905" s="3" t="inlineStr">
        <is>
          <t>준주거지역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다가구</t>
        </is>
      </c>
      <c r="F905" s="3" t="inlineStr">
        <is>
          <t>매매</t>
        </is>
      </c>
      <c r="G905" s="4" t="n">
        <v>310000</v>
      </c>
      <c r="H905" s="4" t="n">
        <v>0</v>
      </c>
      <c r="I905" s="4" t="n">
        <v>412</v>
      </c>
      <c r="J905" s="4" t="n">
        <v>125</v>
      </c>
      <c r="K905" s="5" t="n">
        <v>2480</v>
      </c>
      <c r="L905" s="4" t="n">
        <v>818</v>
      </c>
      <c r="M905" s="4" t="n">
        <v>247</v>
      </c>
      <c r="N905" s="5" t="n">
        <v>1255.1</v>
      </c>
      <c r="O905" s="3" t="inlineStr">
        <is>
          <t>통매매 신축원룸 오송역세권10분거리 인프라좋고 주변편의시설확충 풀옵션완비</t>
        </is>
      </c>
      <c r="P905" s="6">
        <f>HYPERLINK("https://fin.land.naver.com/articles/2655704281", "매물Link")</f>
        <v/>
      </c>
      <c r="Q905" s="6">
        <f>HYPERLINK("https://map.naver.com/p/search/오송읍 봉산리 1223", "지도Link")</f>
        <v/>
      </c>
      <c r="R905" s="6">
        <f>HYPERLINK("http://www.eum.go.kr/web/ar/lu/luLandDet.jsp?pnu=4311325031112230000&amp;isNoScr=script&amp;mode=search",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611.9</v>
      </c>
      <c r="V905" s="4" t="n">
        <v>412</v>
      </c>
      <c r="W905" s="3" t="inlineStr">
        <is>
          <t>지정되지않음</t>
        </is>
      </c>
      <c r="X905" s="3" t="inlineStr">
        <is>
          <t>상업나지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1226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상가주택</t>
        </is>
      </c>
      <c r="F906" s="3" t="inlineStr">
        <is>
          <t>월세</t>
        </is>
      </c>
      <c r="G906" s="4" t="n">
        <v>2000</v>
      </c>
      <c r="H906" s="4" t="n">
        <v>100</v>
      </c>
      <c r="I906" s="4" t="n">
        <v>84</v>
      </c>
      <c r="J906" s="4" t="n">
        <v>25</v>
      </c>
      <c r="K906" s="5" t="n">
        <v>4</v>
      </c>
      <c r="L906" s="4" t="n">
        <v>58</v>
      </c>
      <c r="M906" s="4" t="n">
        <v>18</v>
      </c>
      <c r="N906" s="5" t="n">
        <v>5.6</v>
      </c>
      <c r="O906" s="3" t="inlineStr">
        <is>
          <t>큰길가위치,신축쓰리룸</t>
        </is>
      </c>
      <c r="P906" s="6">
        <f>HYPERLINK("https://fin.land.naver.com/articles/2650881492", "매물Link")</f>
        <v/>
      </c>
      <c r="Q906" s="6">
        <f>HYPERLINK("https://map.naver.com/p/search/오송읍 봉산리 1226", "지도Link")</f>
        <v/>
      </c>
      <c r="R906" s="6">
        <f>HYPERLINK("http://www.eum.go.kr/web/ar/lu/luLandDet.jsp?pnu=4311325031112260000&amp;isNoScr=script&amp;mode=search",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339.2</v>
      </c>
      <c r="V906" s="4" t="n">
        <v>248.7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중로각지</t>
        </is>
      </c>
    </row>
    <row r="907">
      <c r="A907" s="3" t="inlineStr">
        <is>
          <t>오송읍 봉산리 1226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0</t>
        </is>
      </c>
      <c r="E907" s="3" t="inlineStr">
        <is>
          <t>단독</t>
        </is>
      </c>
      <c r="F907" s="3" t="inlineStr">
        <is>
          <t>월세</t>
        </is>
      </c>
      <c r="G907" s="4" t="n">
        <v>2000</v>
      </c>
      <c r="H907" s="4" t="n">
        <v>95</v>
      </c>
      <c r="I907" s="4" t="n">
        <v>52</v>
      </c>
      <c r="J907" s="4" t="n">
        <v>16</v>
      </c>
      <c r="K907" s="5" t="n">
        <v>5.9</v>
      </c>
      <c r="L907" s="4" t="n">
        <v>52</v>
      </c>
      <c r="M907" s="4" t="n">
        <v>16</v>
      </c>
      <c r="N907" s="5" t="n">
        <v>5.9</v>
      </c>
      <c r="O907" s="3" t="inlineStr">
        <is>
          <t>화장실 2개 방방에어컨. 회사 임원들이 쓰기 딱 좋은 쓰리룸 월세.</t>
        </is>
      </c>
      <c r="P907" s="6">
        <f>HYPERLINK("https://fin.land.naver.com/articles/2654561141", "매물Link")</f>
        <v/>
      </c>
      <c r="Q907" s="6">
        <f>HYPERLINK("https://map.naver.com/p/search/오송읍 봉산리 1226", "지도Link")</f>
        <v/>
      </c>
      <c r="R907" s="6">
        <f>HYPERLINK("http://www.eum.go.kr/web/ar/lu/luLandDet.jsp?pnu=4311325031112260000&amp;isNoScr=script&amp;mode=search", "토지이음")</f>
        <v/>
      </c>
      <c r="S907" s="3" t="inlineStr">
        <is>
          <t>오송미소</t>
        </is>
      </c>
      <c r="T907" s="4" t="n">
        <v>1</v>
      </c>
      <c r="U907" s="5" t="n">
        <v>339.2</v>
      </c>
      <c r="V907" s="4" t="n">
        <v>248.7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1232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일반원룸</t>
        </is>
      </c>
      <c r="F908" s="3" t="inlineStr">
        <is>
          <t>월세</t>
        </is>
      </c>
      <c r="G908" s="4" t="n">
        <v>500</v>
      </c>
      <c r="H908" s="4" t="n">
        <v>58</v>
      </c>
      <c r="I908" s="4" t="n">
        <v>0</v>
      </c>
      <c r="J908" s="4" t="n">
        <v>0</v>
      </c>
      <c r="K908" s="5" t="n">
        <v>0</v>
      </c>
      <c r="L908" s="4" t="n">
        <v>32</v>
      </c>
      <c r="M908" s="4" t="n">
        <v>10</v>
      </c>
      <c r="N908" s="5" t="n">
        <v>5.8</v>
      </c>
      <c r="O908" s="3" t="inlineStr">
        <is>
          <t>즉시입주 가능, 대로변에 위치한 깔끔한 투베이 ,베란다 있어요 귀한매물</t>
        </is>
      </c>
      <c r="P908" s="6">
        <f>HYPERLINK("https://fin.land.naver.com/articles/2651362138", "매물Link")</f>
        <v/>
      </c>
      <c r="Q908" s="6">
        <f>HYPERLINK("https://map.naver.com/p/search/오송읍 봉산리 1232", "지도Link")</f>
        <v/>
      </c>
      <c r="R908" s="6">
        <f>HYPERLINK("http://www.eum.go.kr/web/ar/lu/luLandDet.jsp?pnu=4311325031112320000&amp;isNoScr=script&amp;mode=search", "토지이음")</f>
        <v/>
      </c>
      <c r="S908" s="3" t="inlineStr">
        <is>
          <t>오송바이오창조</t>
        </is>
      </c>
      <c r="T908" s="4" t="n">
        <v>4</v>
      </c>
      <c r="U908" s="5" t="n">
        <v>339.2</v>
      </c>
      <c r="V908" s="4" t="n">
        <v>247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중로각지</t>
        </is>
      </c>
    </row>
    <row r="909">
      <c r="A909" s="3" t="inlineStr">
        <is>
          <t>오송읍 봉산리 1232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500</v>
      </c>
      <c r="H909" s="4" t="n">
        <v>59</v>
      </c>
      <c r="I909" s="4" t="n">
        <v>32</v>
      </c>
      <c r="J909" s="4" t="n">
        <v>10</v>
      </c>
      <c r="K909" s="5" t="n">
        <v>5.9</v>
      </c>
      <c r="L909" s="4" t="n">
        <v>32</v>
      </c>
      <c r="M909" s="4" t="n">
        <v>10</v>
      </c>
      <c r="N909" s="5" t="n">
        <v>5.9</v>
      </c>
      <c r="O909" s="3" t="inlineStr">
        <is>
          <t>예쁜 투베이.상권 부근.즉시입주가능.</t>
        </is>
      </c>
      <c r="P909" s="6">
        <f>HYPERLINK("https://fin.land.naver.com/articles/2651420256", "매물Link")</f>
        <v/>
      </c>
      <c r="Q909" s="6">
        <f>HYPERLINK("https://map.naver.com/p/search/오송읍 봉산리 1232", "지도Link")</f>
        <v/>
      </c>
      <c r="R909" s="6">
        <f>HYPERLINK("http://www.eum.go.kr/web/ar/lu/luLandDet.jsp?pnu=4311325031112320000&amp;isNoScr=script&amp;mode=search", "토지이음")</f>
        <v/>
      </c>
      <c r="S909" s="3" t="inlineStr">
        <is>
          <t>이룸</t>
        </is>
      </c>
      <c r="T909" s="4" t="n">
        <v>1</v>
      </c>
      <c r="U909" s="5" t="n">
        <v>339.2</v>
      </c>
      <c r="V909" s="4" t="n">
        <v>247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1232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다가구</t>
        </is>
      </c>
      <c r="F910" s="3" t="inlineStr">
        <is>
          <t>월세</t>
        </is>
      </c>
      <c r="G910" s="4" t="n">
        <v>500</v>
      </c>
      <c r="H910" s="4" t="n">
        <v>55</v>
      </c>
      <c r="I910" s="4" t="n">
        <v>125</v>
      </c>
      <c r="J910" s="4" t="n">
        <v>38</v>
      </c>
      <c r="K910" s="5" t="n">
        <v>1.4</v>
      </c>
      <c r="L910" s="4" t="n">
        <v>32</v>
      </c>
      <c r="M910" s="4" t="n">
        <v>10</v>
      </c>
      <c r="N910" s="5" t="n">
        <v>5.5</v>
      </c>
      <c r="O910" s="3" t="inlineStr">
        <is>
          <t>투베이 오송역세권으로 인프라좋고 주변편의시설확충 통근버스큰길부근</t>
        </is>
      </c>
      <c r="P910" s="6">
        <f>HYPERLINK("https://fin.land.naver.com/articles/2650944630", "매물Link")</f>
        <v/>
      </c>
      <c r="Q910" s="6">
        <f>HYPERLINK("https://map.naver.com/p/search/오송읍 봉산리 1232", "지도Link")</f>
        <v/>
      </c>
      <c r="R910" s="6">
        <f>HYPERLINK("http://www.eum.go.kr/web/ar/lu/luLandDet.jsp?pnu=4311325031112320000&amp;isNoScr=script&amp;mode=search",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339.2</v>
      </c>
      <c r="V910" s="4" t="n">
        <v>247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1233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1000</v>
      </c>
      <c r="H911" s="4" t="n">
        <v>66</v>
      </c>
      <c r="I911" s="4" t="n">
        <v>68</v>
      </c>
      <c r="J911" s="4" t="n">
        <v>21</v>
      </c>
      <c r="K911" s="5" t="n">
        <v>3.1</v>
      </c>
      <c r="L911" s="4" t="n">
        <v>34</v>
      </c>
      <c r="M911" s="4" t="n">
        <v>10</v>
      </c>
      <c r="N911" s="5" t="n">
        <v>6.6</v>
      </c>
      <c r="O911" s="3" t="inlineStr">
        <is>
          <t>오송에서 가장 좋은 신축 투베이</t>
        </is>
      </c>
      <c r="P911" s="6">
        <f>HYPERLINK("https://fin.land.naver.com/articles/2653948610", "매물Link")</f>
        <v/>
      </c>
      <c r="Q911" s="6">
        <f>HYPERLINK("https://map.naver.com/p/search/오송읍 봉산리 1233", "지도Link")</f>
        <v/>
      </c>
      <c r="R911" s="6">
        <f>HYPERLINK("http://www.eum.go.kr/web/ar/lu/luLandDet.jsp?pnu=4311325031112330000&amp;isNoScr=script&amp;mode=search", "토지이음")</f>
        <v/>
      </c>
      <c r="S911" s="3" t="inlineStr">
        <is>
          <t>프로</t>
        </is>
      </c>
      <c r="T911" s="4" t="n">
        <v>1</v>
      </c>
      <c r="U911" s="5" t="n">
        <v>206.3</v>
      </c>
      <c r="V911" s="4" t="n">
        <v>247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500</v>
      </c>
      <c r="H912" s="4" t="n">
        <v>50</v>
      </c>
      <c r="I912" s="4" t="n">
        <v>122</v>
      </c>
      <c r="J912" s="4" t="n">
        <v>37</v>
      </c>
      <c r="K912" s="5" t="n">
        <v>1.4</v>
      </c>
      <c r="L912" s="4" t="n">
        <v>18</v>
      </c>
      <c r="M912" s="4" t="n">
        <v>5</v>
      </c>
      <c r="N912" s="5" t="n">
        <v>10</v>
      </c>
      <c r="O912" s="3" t="inlineStr">
        <is>
          <t>원룸 오송역10분거리 인프라좋고 주변편의시설확충 파출소 마트 공원산책로</t>
        </is>
      </c>
      <c r="P912" s="6">
        <f>HYPERLINK("https://fin.land.naver.com/articles/2652827210", "매물Link")</f>
        <v/>
      </c>
      <c r="Q912" s="6">
        <f>HYPERLINK("https://map.naver.com/p/search/오송읍 봉산리 1234", "지도Link")</f>
        <v/>
      </c>
      <c r="R912" s="6">
        <f>HYPERLINK("http://www.eum.go.kr/web/ar/lu/luLandDet.jsp?pnu=4311325031112340000&amp;isNoScr=script&amp;mode=search", "토지이음")</f>
        <v/>
      </c>
      <c r="S912" s="3" t="inlineStr">
        <is>
          <t>하림</t>
        </is>
      </c>
      <c r="T912" s="4" t="n">
        <v>1</v>
      </c>
      <c r="U912" s="5" t="n">
        <v>206.3</v>
      </c>
      <c r="V912" s="4" t="n">
        <v>247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1235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월세</t>
        </is>
      </c>
      <c r="G913" s="4" t="n">
        <v>3000</v>
      </c>
      <c r="H913" s="4" t="n">
        <v>110</v>
      </c>
      <c r="I913" s="4" t="n">
        <v>0</v>
      </c>
      <c r="J913" s="4" t="n">
        <v>0</v>
      </c>
      <c r="K913" s="5" t="n">
        <v>0</v>
      </c>
      <c r="L913" s="4" t="n">
        <v>111</v>
      </c>
      <c r="M913" s="4" t="n">
        <v>34</v>
      </c>
      <c r="N913" s="5" t="n">
        <v>3.2</v>
      </c>
      <c r="O913" s="3" t="inlineStr">
        <is>
          <t>즉시입주. 2산단 주인세대. 대로변 탁 트인 시원한 뷰.</t>
        </is>
      </c>
      <c r="P913" s="6">
        <f>HYPERLINK("https://fin.land.naver.com/articles/2650986783", "매물Link")</f>
        <v/>
      </c>
      <c r="Q913" s="6">
        <f>HYPERLINK("https://map.naver.com/p/search/오송읍 봉산리 1235", "지도Link")</f>
        <v/>
      </c>
      <c r="R913" s="6">
        <f>HYPERLINK("http://www.eum.go.kr/web/ar/lu/luLandDet.jsp?pnu=4311325031112350000&amp;isNoScr=script&amp;mode=search", "토지이음")</f>
        <v/>
      </c>
      <c r="S913" s="3" t="inlineStr">
        <is>
          <t>당근플러스</t>
        </is>
      </c>
      <c r="T913" s="4" t="n">
        <v>1</v>
      </c>
      <c r="U913" s="5" t="n">
        <v>206.3</v>
      </c>
      <c r="V913" s="4" t="n">
        <v>247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1235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단독</t>
        </is>
      </c>
      <c r="F914" s="3" t="inlineStr">
        <is>
          <t>월세</t>
        </is>
      </c>
      <c r="G914" s="4" t="n">
        <v>3000</v>
      </c>
      <c r="H914" s="4" t="n">
        <v>70</v>
      </c>
      <c r="I914" s="4" t="n">
        <v>0</v>
      </c>
      <c r="J914" s="4" t="n">
        <v>0</v>
      </c>
      <c r="K914" s="5" t="n">
        <v>0</v>
      </c>
      <c r="L914" s="4" t="n">
        <v>54</v>
      </c>
      <c r="M914" s="4" t="n">
        <v>16</v>
      </c>
      <c r="N914" s="5" t="n">
        <v>4.4</v>
      </c>
      <c r="O914" s="3" t="inlineStr">
        <is>
          <t>투룸, 중문설치, 화장실2개,시스템에어컨3대, 12월20일입주가능</t>
        </is>
      </c>
      <c r="P914" s="6">
        <f>HYPERLINK("https://fin.land.naver.com/articles/2656089362", "매물Link")</f>
        <v/>
      </c>
      <c r="Q914" s="6">
        <f>HYPERLINK("https://map.naver.com/p/search/오송읍 봉산리 1235", "지도Link")</f>
        <v/>
      </c>
      <c r="R914" s="6">
        <f>HYPERLINK("http://www.eum.go.kr/web/ar/lu/luLandDet.jsp?pnu=4311325031112350000&amp;isNoScr=script&amp;mode=search", "토지이음")</f>
        <v/>
      </c>
      <c r="S914" s="3" t="inlineStr">
        <is>
          <t>태원</t>
        </is>
      </c>
      <c r="T914" s="4" t="n">
        <v>1</v>
      </c>
      <c r="U914" s="5" t="n">
        <v>206.3</v>
      </c>
      <c r="V914" s="4" t="n">
        <v>247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1235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월세</t>
        </is>
      </c>
      <c r="G915" s="4" t="n">
        <v>3000</v>
      </c>
      <c r="H915" s="4" t="n">
        <v>120</v>
      </c>
      <c r="I915" s="4" t="n">
        <v>111</v>
      </c>
      <c r="J915" s="4" t="n">
        <v>34</v>
      </c>
      <c r="K915" s="5" t="n">
        <v>3.5</v>
      </c>
      <c r="L915" s="4" t="n">
        <v>90</v>
      </c>
      <c r="M915" s="4" t="n">
        <v>27</v>
      </c>
      <c r="N915" s="5" t="n">
        <v>4.4</v>
      </c>
      <c r="O915" s="3" t="inlineStr">
        <is>
          <t>주인세대 넓고 아늑한유럽식인테리어 뻥뷰기 기가막힌집 설명끝</t>
        </is>
      </c>
      <c r="P915" s="6">
        <f>HYPERLINK("https://fin.land.naver.com/articles/2652407122", "매물Link")</f>
        <v/>
      </c>
      <c r="Q915" s="6">
        <f>HYPERLINK("https://map.naver.com/p/search/오송읍 봉산리 1235", "지도Link")</f>
        <v/>
      </c>
      <c r="R915" s="6">
        <f>HYPERLINK("http://www.eum.go.kr/web/ar/lu/luLandDet.jsp?pnu=4311325031112350000&amp;isNoScr=script&amp;mode=search",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247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1236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61</v>
      </c>
      <c r="I916" s="4" t="n">
        <v>29</v>
      </c>
      <c r="J916" s="4" t="n">
        <v>9</v>
      </c>
      <c r="K916" s="5" t="n">
        <v>6.8</v>
      </c>
      <c r="L916" s="4" t="n">
        <v>29</v>
      </c>
      <c r="M916" s="4" t="n">
        <v>9</v>
      </c>
      <c r="N916" s="5" t="n">
        <v>6.8</v>
      </c>
      <c r="O916" s="3" t="inlineStr">
        <is>
          <t>예쁜 투베이.대형붙박이장.채광우수.</t>
        </is>
      </c>
      <c r="P916" s="6">
        <f>HYPERLINK("https://fin.land.naver.com/articles/2656031736", "매물Link")</f>
        <v/>
      </c>
      <c r="Q916" s="6">
        <f>HYPERLINK("https://map.naver.com/p/search/오송읍 봉산리 1236", "지도Link")</f>
        <v/>
      </c>
      <c r="R916" s="6">
        <f>HYPERLINK("http://www.eum.go.kr/web/ar/lu/luLandDet.jsp?pnu=4311325031112360000&amp;isNoScr=script&amp;mode=search", "토지이음")</f>
        <v/>
      </c>
      <c r="S916" s="3" t="inlineStr">
        <is>
          <t>이룸</t>
        </is>
      </c>
      <c r="T916" s="4" t="n">
        <v>1</v>
      </c>
      <c r="U916" s="5" t="n">
        <v>206.3</v>
      </c>
      <c r="V916" s="4" t="n">
        <v>247.1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1238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246</v>
      </c>
      <c r="J917" s="4" t="n">
        <v>74</v>
      </c>
      <c r="K917" s="5" t="n">
        <v>1959.5</v>
      </c>
      <c r="L917" s="4" t="n">
        <v>495</v>
      </c>
      <c r="M917" s="4" t="n">
        <v>150</v>
      </c>
      <c r="N917" s="5" t="n">
        <v>966.7</v>
      </c>
      <c r="O917" s="3" t="inlineStr">
        <is>
          <t>ㄸr봉 입지좋은 대로변 3면코너 공실 없는 안정수익형</t>
        </is>
      </c>
      <c r="P917" s="6">
        <f>HYPERLINK("https://fin.land.naver.com/articles/2651137686", "매물Link")</f>
        <v/>
      </c>
      <c r="Q917" s="6">
        <f>HYPERLINK("https://map.naver.com/p/search/오송읍 봉산리 1238", "지도Link")</f>
        <v/>
      </c>
      <c r="R917" s="6">
        <f>HYPERLINK("http://www.eum.go.kr/web/ar/lu/luLandDet.jsp?pnu=4311325031112380000&amp;isNoScr=script&amp;mode=search", "토지이음")</f>
        <v/>
      </c>
      <c r="S917" s="3" t="inlineStr">
        <is>
          <t>오송프렌즈</t>
        </is>
      </c>
      <c r="T917" s="4" t="n">
        <v>1</v>
      </c>
      <c r="U917" s="5" t="n">
        <v>250.2</v>
      </c>
      <c r="V917" s="4" t="n">
        <v>246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1238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246</v>
      </c>
      <c r="J918" s="4" t="n">
        <v>74</v>
      </c>
      <c r="K918" s="5" t="n">
        <v>1959.5</v>
      </c>
      <c r="L918" s="4" t="n">
        <v>485</v>
      </c>
      <c r="M918" s="4" t="n">
        <v>147</v>
      </c>
      <c r="N918" s="5" t="n">
        <v>986.4</v>
      </c>
      <c r="O918" s="3" t="inlineStr">
        <is>
          <t>대도로 3면코너  저렴한 매매가 강추매물</t>
        </is>
      </c>
      <c r="P918" s="6">
        <f>HYPERLINK("https://fin.land.naver.com/articles/2655925492", "매물Link")</f>
        <v/>
      </c>
      <c r="Q918" s="6">
        <f>HYPERLINK("https://map.naver.com/p/search/오송읍 봉산리 1238", "지도Link")</f>
        <v/>
      </c>
      <c r="R918" s="6">
        <f>HYPERLINK("http://www.eum.go.kr/web/ar/lu/luLandDet.jsp?pnu=4311325031112380000&amp;isNoScr=script&amp;mode=search", "토지이음")</f>
        <v/>
      </c>
      <c r="S918" s="3" t="inlineStr">
        <is>
          <t>프렌즈</t>
        </is>
      </c>
      <c r="T918" s="4" t="n">
        <v>1</v>
      </c>
      <c r="U918" s="5" t="n">
        <v>250.2</v>
      </c>
      <c r="V918" s="4" t="n">
        <v>246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1238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143000</v>
      </c>
      <c r="H919" s="4" t="n">
        <v>0</v>
      </c>
      <c r="I919" s="4" t="n">
        <v>246</v>
      </c>
      <c r="J919" s="4" t="n">
        <v>74</v>
      </c>
      <c r="K919" s="5" t="n">
        <v>1932.4</v>
      </c>
      <c r="L919" s="4" t="n">
        <v>485</v>
      </c>
      <c r="M919" s="4" t="n">
        <v>147</v>
      </c>
      <c r="N919" s="5" t="n">
        <v>972.8</v>
      </c>
      <c r="O919" s="3" t="inlineStr">
        <is>
          <t>자본금 6억대로 수익형 투자매물을 잡을수 있어요</t>
        </is>
      </c>
      <c r="P919" s="6">
        <f>HYPERLINK("https://fin.land.naver.com/articles/2655166240", "매물Link")</f>
        <v/>
      </c>
      <c r="Q919" s="6">
        <f>HYPERLINK("https://map.naver.com/p/search/오송읍 봉산리 1238", "지도Link")</f>
        <v/>
      </c>
      <c r="R919" s="6">
        <f>HYPERLINK("http://www.eum.go.kr/web/ar/lu/luLandDet.jsp?pnu=4311325031112380000&amp;isNoScr=script&amp;mode=search",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250.2</v>
      </c>
      <c r="V919" s="4" t="n">
        <v>246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1238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145000</v>
      </c>
      <c r="H920" s="4" t="n">
        <v>0</v>
      </c>
      <c r="I920" s="4" t="n">
        <v>246</v>
      </c>
      <c r="J920" s="4" t="n">
        <v>74</v>
      </c>
      <c r="K920" s="5" t="n">
        <v>1959.5</v>
      </c>
      <c r="L920" s="4" t="n">
        <v>485</v>
      </c>
      <c r="M920" s="4" t="n">
        <v>147</v>
      </c>
      <c r="N920" s="5" t="n">
        <v>986.4</v>
      </c>
      <c r="O920" s="3" t="inlineStr">
        <is>
          <t>입지조건좋은 대로변 코너건물급매,오송역인근</t>
        </is>
      </c>
      <c r="P920" s="6">
        <f>HYPERLINK("https://fin.land.naver.com/articles/2656129182", "매물Link")</f>
        <v/>
      </c>
      <c r="Q920" s="6">
        <f>HYPERLINK("https://map.naver.com/p/search/오송읍 봉산리 1238", "지도Link")</f>
        <v/>
      </c>
      <c r="R920" s="6">
        <f>HYPERLINK("http://www.eum.go.kr/web/ar/lu/luLandDet.jsp?pnu=4311325031112380000&amp;isNoScr=script&amp;mode=search", "토지이음")</f>
        <v/>
      </c>
      <c r="S920" s="3" t="inlineStr">
        <is>
          <t>오송올래</t>
        </is>
      </c>
      <c r="T920" s="4" t="n">
        <v>1</v>
      </c>
      <c r="U920" s="5" t="n">
        <v>250.2</v>
      </c>
      <c r="V920" s="4" t="n">
        <v>246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1238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145000</v>
      </c>
      <c r="H921" s="4" t="n">
        <v>0</v>
      </c>
      <c r="I921" s="4" t="n">
        <v>246</v>
      </c>
      <c r="J921" s="4" t="n">
        <v>74</v>
      </c>
      <c r="K921" s="5" t="n">
        <v>1959.5</v>
      </c>
      <c r="L921" s="4" t="n">
        <v>485</v>
      </c>
      <c r="M921" s="4" t="n">
        <v>147</v>
      </c>
      <c r="N921" s="5" t="n">
        <v>986.4</v>
      </c>
      <c r="O921" s="3" t="inlineStr">
        <is>
          <t>대로변에 위치한 입지좋은 다가구 건물</t>
        </is>
      </c>
      <c r="P921" s="6">
        <f>HYPERLINK("https://fin.land.naver.com/articles/2655162801", "매물Link")</f>
        <v/>
      </c>
      <c r="Q921" s="6">
        <f>HYPERLINK("https://map.naver.com/p/search/오송읍 봉산리 1238", "지도Link")</f>
        <v/>
      </c>
      <c r="R921" s="6">
        <f>HYPERLINK("http://www.eum.go.kr/web/ar/lu/luLandDet.jsp?pnu=4311325031112380000&amp;isNoScr=script&amp;mode=search",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250.2</v>
      </c>
      <c r="V921" s="4" t="n">
        <v>246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1238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143000</v>
      </c>
      <c r="H922" s="4" t="n">
        <v>0</v>
      </c>
      <c r="I922" s="4" t="n">
        <v>246</v>
      </c>
      <c r="J922" s="4" t="n">
        <v>74</v>
      </c>
      <c r="K922" s="5" t="n">
        <v>1932.4</v>
      </c>
      <c r="L922" s="4" t="n">
        <v>485</v>
      </c>
      <c r="M922" s="4" t="n">
        <v>147</v>
      </c>
      <c r="N922" s="5" t="n">
        <v>972.8</v>
      </c>
      <c r="O922" s="3" t="inlineStr">
        <is>
          <t>3면 코너건물로 차량 진출입 하기 좋고, 주인세대 거실 남향 배치</t>
        </is>
      </c>
      <c r="P922" s="6">
        <f>HYPERLINK("https://fin.land.naver.com/articles/2656439040", "매물Link")</f>
        <v/>
      </c>
      <c r="Q922" s="6">
        <f>HYPERLINK("https://map.naver.com/p/search/오송읍 봉산리 1238", "지도Link")</f>
        <v/>
      </c>
      <c r="R922" s="6">
        <f>HYPERLINK("http://www.eum.go.kr/web/ar/lu/luLandDet.jsp?pnu=4311325031112380000&amp;isNoScr=script&amp;mode=search", "토지이음")</f>
        <v/>
      </c>
      <c r="S922" s="3" t="inlineStr">
        <is>
          <t>오송2단지창조</t>
        </is>
      </c>
      <c r="T922" s="4" t="n">
        <v>1</v>
      </c>
      <c r="U922" s="5" t="n">
        <v>250.2</v>
      </c>
      <c r="V922" s="4" t="n">
        <v>246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1241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매매</t>
        </is>
      </c>
      <c r="G923" s="4" t="n">
        <v>175000</v>
      </c>
      <c r="H923" s="4" t="n">
        <v>0</v>
      </c>
      <c r="I923" s="4" t="n">
        <v>278</v>
      </c>
      <c r="J923" s="4" t="n">
        <v>84</v>
      </c>
      <c r="K923" s="5" t="n">
        <v>2083.3</v>
      </c>
      <c r="L923" s="4" t="n">
        <v>533</v>
      </c>
      <c r="M923" s="4" t="n">
        <v>161</v>
      </c>
      <c r="N923" s="5" t="n">
        <v>1087</v>
      </c>
      <c r="O923" s="3" t="inlineStr">
        <is>
          <t>낮과 밤이 다른 수익률 높은 알짜 건물. 중심상가.오송역 도보 7분</t>
        </is>
      </c>
      <c r="P923" s="6">
        <f>HYPERLINK("https://fin.land.naver.com/articles/2656352891", "매물Link")</f>
        <v/>
      </c>
      <c r="Q923" s="6">
        <f>HYPERLINK("https://map.naver.com/p/search/오송읍 봉산리 1241", "지도Link")</f>
        <v/>
      </c>
      <c r="R923" s="6">
        <f>HYPERLINK("http://www.eum.go.kr/web/ar/lu/luLandDet.jsp?pnu=4311325031112410000&amp;isNoScr=script&amp;mode=search", "토지이음")</f>
        <v/>
      </c>
      <c r="S923" s="3" t="inlineStr">
        <is>
          <t>오송미소</t>
        </is>
      </c>
      <c r="T923" s="4" t="n">
        <v>1</v>
      </c>
      <c r="U923" s="5" t="n">
        <v>206.3</v>
      </c>
      <c r="V923" s="4" t="n">
        <v>278.6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1241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135</v>
      </c>
      <c r="J924" s="4" t="n">
        <v>41</v>
      </c>
      <c r="K924" s="5" t="n">
        <v>1.5</v>
      </c>
      <c r="L924" s="4" t="n">
        <v>32</v>
      </c>
      <c r="M924" s="4" t="n">
        <v>10</v>
      </c>
      <c r="N924" s="5" t="n">
        <v>6</v>
      </c>
      <c r="O924" s="3" t="inlineStr">
        <is>
          <t>넓은투베이 오송역10분거리 인프라좋고 주변편의시설확충  대중교통편리</t>
        </is>
      </c>
      <c r="P924" s="6">
        <f>HYPERLINK("https://fin.land.naver.com/articles/2655703425", "매물Link")</f>
        <v/>
      </c>
      <c r="Q924" s="6">
        <f>HYPERLINK("https://map.naver.com/p/search/오송읍 봉산리 1241", "지도Link")</f>
        <v/>
      </c>
      <c r="R924" s="6">
        <f>HYPERLINK("http://www.eum.go.kr/web/ar/lu/luLandDet.jsp?pnu=4311325031112410000&amp;isNoScr=script&amp;mode=search", "토지이음")</f>
        <v/>
      </c>
      <c r="S924" s="3" t="inlineStr">
        <is>
          <t>하림</t>
        </is>
      </c>
      <c r="T924" s="4" t="n">
        <v>1</v>
      </c>
      <c r="U924" s="5" t="n">
        <v>206.3</v>
      </c>
      <c r="V924" s="4" t="n">
        <v>278.6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1242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130000</v>
      </c>
      <c r="H925" s="4" t="n">
        <v>0</v>
      </c>
      <c r="I925" s="4" t="n">
        <v>278</v>
      </c>
      <c r="J925" s="4" t="n">
        <v>84</v>
      </c>
      <c r="K925" s="5" t="n">
        <v>1547.6</v>
      </c>
      <c r="L925" s="4" t="n">
        <v>493</v>
      </c>
      <c r="M925" s="4" t="n">
        <v>149</v>
      </c>
      <c r="N925" s="5" t="n">
        <v>872.5</v>
      </c>
      <c r="O925" s="3" t="inlineStr">
        <is>
          <t>현 수익률 9.3 투자강추, 실투자금 4억대 월580만, ktx도보10분</t>
        </is>
      </c>
      <c r="P925" s="6">
        <f>HYPERLINK("https://fin.land.naver.com/articles/2655394704", "매물Link")</f>
        <v/>
      </c>
      <c r="Q925" s="6">
        <f>HYPERLINK("https://map.naver.com/p/search/오송읍 봉산리 1242", "지도Link")</f>
        <v/>
      </c>
      <c r="R925" s="6">
        <f>HYPERLINK("http://www.eum.go.kr/web/ar/lu/luLandDet.jsp?pnu=4311325031112420000&amp;isNoScr=script&amp;mode=search",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206.3</v>
      </c>
      <c r="V925" s="4" t="n">
        <v>278.7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1242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132000</v>
      </c>
      <c r="H926" s="4" t="n">
        <v>0</v>
      </c>
      <c r="I926" s="4" t="n">
        <v>278</v>
      </c>
      <c r="J926" s="4" t="n">
        <v>84</v>
      </c>
      <c r="K926" s="5" t="n">
        <v>1571.4</v>
      </c>
      <c r="L926" s="4" t="n">
        <v>493</v>
      </c>
      <c r="M926" s="4" t="n">
        <v>149</v>
      </c>
      <c r="N926" s="5" t="n">
        <v>885.9</v>
      </c>
      <c r="O926" s="3" t="inlineStr">
        <is>
          <t>수익율 좋으며,먹자골목에 위치한 상가주택 투자매물 입니다</t>
        </is>
      </c>
      <c r="P926" s="6">
        <f>HYPERLINK("https://fin.land.naver.com/articles/2652109624", "매물Link")</f>
        <v/>
      </c>
      <c r="Q926" s="6">
        <f>HYPERLINK("https://map.naver.com/p/search/오송읍 봉산리 1242", "지도Link")</f>
        <v/>
      </c>
      <c r="R926" s="6">
        <f>HYPERLINK("http://www.eum.go.kr/web/ar/lu/luLandDet.jsp?pnu=4311325031112420000&amp;isNoScr=script&amp;mode=search",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206.3</v>
      </c>
      <c r="V926" s="4" t="n">
        <v>278.7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1242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132000</v>
      </c>
      <c r="H927" s="4" t="n">
        <v>0</v>
      </c>
      <c r="I927" s="4" t="n">
        <v>278</v>
      </c>
      <c r="J927" s="4" t="n">
        <v>84</v>
      </c>
      <c r="K927" s="5" t="n">
        <v>1571.4</v>
      </c>
      <c r="L927" s="4" t="n">
        <v>493</v>
      </c>
      <c r="M927" s="4" t="n">
        <v>149</v>
      </c>
      <c r="N927" s="5" t="n">
        <v>885.9</v>
      </c>
      <c r="O927" s="3" t="inlineStr">
        <is>
          <t>수익형 상가주택</t>
        </is>
      </c>
      <c r="P927" s="6">
        <f>HYPERLINK("https://fin.land.naver.com/articles/2652018765", "매물Link")</f>
        <v/>
      </c>
      <c r="Q927" s="6">
        <f>HYPERLINK("https://map.naver.com/p/search/오송읍 봉산리 1242", "지도Link")</f>
        <v/>
      </c>
      <c r="R927" s="6">
        <f>HYPERLINK("http://www.eum.go.kr/web/ar/lu/luLandDet.jsp?pnu=4311325031112420000&amp;isNoScr=script&amp;mode=search", "토지이음")</f>
        <v/>
      </c>
      <c r="S927" s="3" t="inlineStr">
        <is>
          <t>오송1단지창조</t>
        </is>
      </c>
      <c r="T927" s="4" t="n">
        <v>1</v>
      </c>
      <c r="U927" s="5" t="n">
        <v>206.3</v>
      </c>
      <c r="V927" s="4" t="n">
        <v>278.7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1242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130000</v>
      </c>
      <c r="H928" s="4" t="n">
        <v>0</v>
      </c>
      <c r="I928" s="4" t="n">
        <v>278</v>
      </c>
      <c r="J928" s="4" t="n">
        <v>84</v>
      </c>
      <c r="K928" s="5" t="n">
        <v>1547.6</v>
      </c>
      <c r="L928" s="4" t="n">
        <v>493</v>
      </c>
      <c r="M928" s="4" t="n">
        <v>149</v>
      </c>
      <c r="N928" s="5" t="n">
        <v>872.5</v>
      </c>
      <c r="O928" s="3" t="inlineStr">
        <is>
          <t>역세권. 합리적인 투자금액의 추천 매물.</t>
        </is>
      </c>
      <c r="P928" s="6">
        <f>HYPERLINK("https://fin.land.naver.com/articles/2654121326", "매물Link")</f>
        <v/>
      </c>
      <c r="Q928" s="6">
        <f>HYPERLINK("https://map.naver.com/p/search/오송읍 봉산리 1242", "지도Link")</f>
        <v/>
      </c>
      <c r="R928" s="6">
        <f>HYPERLINK("http://www.eum.go.kr/web/ar/lu/luLandDet.jsp?pnu=4311325031112420000&amp;isNoScr=script&amp;mode=search", "토지이음")</f>
        <v/>
      </c>
      <c r="S928" s="3" t="inlineStr">
        <is>
          <t>당근플러스</t>
        </is>
      </c>
      <c r="T928" s="4" t="n">
        <v>2</v>
      </c>
      <c r="U928" s="5" t="n">
        <v>206.3</v>
      </c>
      <c r="V928" s="4" t="n">
        <v>278.7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1242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130000</v>
      </c>
      <c r="H929" s="4" t="n">
        <v>0</v>
      </c>
      <c r="I929" s="4" t="n">
        <v>278</v>
      </c>
      <c r="J929" s="4" t="n">
        <v>84</v>
      </c>
      <c r="K929" s="5" t="n">
        <v>1547.6</v>
      </c>
      <c r="L929" s="4" t="n">
        <v>493</v>
      </c>
      <c r="M929" s="4" t="n">
        <v>149</v>
      </c>
      <c r="N929" s="5" t="n">
        <v>872.5</v>
      </c>
      <c r="O929" s="3" t="inlineStr">
        <is>
          <t>통매매 역세권으로 인프라좋고 주변편의시설확충 신축건물로 씨씨티비안전지역</t>
        </is>
      </c>
      <c r="P929" s="6">
        <f>HYPERLINK("https://fin.land.naver.com/articles/2653290915", "매물Link")</f>
        <v/>
      </c>
      <c r="Q929" s="6">
        <f>HYPERLINK("https://map.naver.com/p/search/오송읍 봉산리 1242", "지도Link")</f>
        <v/>
      </c>
      <c r="R929" s="6">
        <f>HYPERLINK("http://www.eum.go.kr/web/ar/lu/luLandDet.jsp?pnu=4311325031112420000&amp;isNoScr=script&amp;mode=search",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206.3</v>
      </c>
      <c r="V929" s="4" t="n">
        <v>278.7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1252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월세</t>
        </is>
      </c>
      <c r="G930" s="4" t="n">
        <v>3000</v>
      </c>
      <c r="H930" s="4" t="n">
        <v>110</v>
      </c>
      <c r="I930" s="4" t="n">
        <v>152</v>
      </c>
      <c r="J930" s="4" t="n">
        <v>46</v>
      </c>
      <c r="K930" s="5" t="n">
        <v>2.4</v>
      </c>
      <c r="L930" s="4" t="n">
        <v>133</v>
      </c>
      <c r="M930" s="4" t="n">
        <v>40</v>
      </c>
      <c r="N930" s="5" t="n">
        <v>2.8</v>
      </c>
      <c r="O930" s="3" t="inlineStr">
        <is>
          <t>즉시 입주 가능, 방4개의 넓은 주인세대 월세</t>
        </is>
      </c>
      <c r="P930" s="6">
        <f>HYPERLINK("https://fin.land.naver.com/articles/2652201542", "매물Link")</f>
        <v/>
      </c>
      <c r="Q930" s="6">
        <f>HYPERLINK("https://map.naver.com/p/search/오송읍 봉산리 1252", "지도Link")</f>
        <v/>
      </c>
      <c r="R930" s="6">
        <f>HYPERLINK("http://www.eum.go.kr/web/ar/lu/luLandDet.jsp?pnu=4311325031112520000&amp;isNoScr=script&amp;mode=search", "토지이음")</f>
        <v/>
      </c>
      <c r="S930" s="3" t="inlineStr">
        <is>
          <t>프로</t>
        </is>
      </c>
      <c r="T930" s="4" t="n">
        <v>1</v>
      </c>
      <c r="U930" s="5" t="n">
        <v>305.4</v>
      </c>
      <c r="V930" s="4" t="n">
        <v>274.5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1257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다가구</t>
        </is>
      </c>
      <c r="F931" s="3" t="inlineStr">
        <is>
          <t>월세</t>
        </is>
      </c>
      <c r="G931" s="4" t="n">
        <v>1000</v>
      </c>
      <c r="H931" s="4" t="n">
        <v>65</v>
      </c>
      <c r="I931" s="4" t="n">
        <v>0</v>
      </c>
      <c r="J931" s="4" t="n">
        <v>0</v>
      </c>
      <c r="K931" s="5" t="n">
        <v>0</v>
      </c>
      <c r="L931" s="4" t="n">
        <v>42</v>
      </c>
      <c r="M931" s="4" t="n">
        <v>13</v>
      </c>
      <c r="N931" s="5" t="n">
        <v>5</v>
      </c>
      <c r="O931" s="3" t="inlineStr">
        <is>
          <t>오송2단지 남향 투룸 넓은평수 수납 최고 입니다 주차편리</t>
        </is>
      </c>
      <c r="P931" s="6">
        <f>HYPERLINK("https://fin.land.naver.com/articles/2654739491", "매물Link")</f>
        <v/>
      </c>
      <c r="Q931" s="6">
        <f>HYPERLINK("https://map.naver.com/p/search/오송읍 봉산리 1257", "지도Link")</f>
        <v/>
      </c>
      <c r="R931" s="6">
        <f>HYPERLINK("http://www.eum.go.kr/web/ar/lu/luLandDet.jsp?pnu=4311325031112570000&amp;isNoScr=script&amp;mode=search", "토지이음")</f>
        <v/>
      </c>
      <c r="S931" s="3" t="inlineStr">
        <is>
          <t>스케치</t>
        </is>
      </c>
      <c r="T931" s="4" t="n">
        <v>1</v>
      </c>
      <c r="U931" s="5" t="n">
        <v>218.7</v>
      </c>
      <c r="V931" s="4" t="n">
        <v>288.6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1262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169000</v>
      </c>
      <c r="H932" s="4" t="n">
        <v>0</v>
      </c>
      <c r="I932" s="4" t="n">
        <v>281</v>
      </c>
      <c r="J932" s="4" t="n">
        <v>85</v>
      </c>
      <c r="K932" s="5" t="n">
        <v>1988.2</v>
      </c>
      <c r="L932" s="4" t="n">
        <v>523</v>
      </c>
      <c r="M932" s="4" t="n">
        <v>158</v>
      </c>
      <c r="N932" s="5" t="n">
        <v>1069.6</v>
      </c>
      <c r="O932" s="3" t="inlineStr">
        <is>
          <t>럭셔리 신축원룸, 전체 임대완료. 남향 테라스 예쁜 조용한 집</t>
        </is>
      </c>
      <c r="P932" s="6">
        <f>HYPERLINK("https://fin.land.naver.com/articles/2653748823", "매물Link")</f>
        <v/>
      </c>
      <c r="Q932" s="6">
        <f>HYPERLINK("https://map.naver.com/p/search/오송읍 봉산리 1262", "지도Link")</f>
        <v/>
      </c>
      <c r="R932" s="6">
        <f>HYPERLINK("http://www.eum.go.kr/web/ar/lu/luLandDet.jsp?pnu=4311325031112620000&amp;isNoScr=script&amp;mode=search", "토지이음")</f>
        <v/>
      </c>
      <c r="S932" s="3" t="inlineStr">
        <is>
          <t>프로</t>
        </is>
      </c>
      <c r="T932" s="4" t="n">
        <v>2</v>
      </c>
      <c r="U932" s="5" t="n">
        <v>236</v>
      </c>
      <c r="V932" s="4" t="n">
        <v>281.6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1262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169000</v>
      </c>
      <c r="H933" s="4" t="n">
        <v>0</v>
      </c>
      <c r="I933" s="4" t="n">
        <v>281</v>
      </c>
      <c r="J933" s="4" t="n">
        <v>85</v>
      </c>
      <c r="K933" s="5" t="n">
        <v>1988.2</v>
      </c>
      <c r="L933" s="4" t="n">
        <v>523</v>
      </c>
      <c r="M933" s="4" t="n">
        <v>158</v>
      </c>
      <c r="N933" s="5" t="n">
        <v>1069.6</v>
      </c>
      <c r="O933" s="3" t="inlineStr">
        <is>
          <t>25년신축 상가주택 매매</t>
        </is>
      </c>
      <c r="P933" s="6">
        <f>HYPERLINK("https://fin.land.naver.com/articles/2651080065", "매물Link")</f>
        <v/>
      </c>
      <c r="Q933" s="6">
        <f>HYPERLINK("https://map.naver.com/p/search/오송읍 봉산리 1262", "지도Link")</f>
        <v/>
      </c>
      <c r="R933" s="6">
        <f>HYPERLINK("http://www.eum.go.kr/web/ar/lu/luLandDet.jsp?pnu=4311325031112620000&amp;isNoScr=script&amp;mode=search", "토지이음")</f>
        <v/>
      </c>
      <c r="S933" s="3" t="inlineStr">
        <is>
          <t>e복덕방</t>
        </is>
      </c>
      <c r="T933" s="4" t="n">
        <v>2</v>
      </c>
      <c r="U933" s="5" t="n">
        <v>236</v>
      </c>
      <c r="V933" s="4" t="n">
        <v>281.6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1262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169000</v>
      </c>
      <c r="H934" s="4" t="n">
        <v>0</v>
      </c>
      <c r="I934" s="4" t="n">
        <v>281</v>
      </c>
      <c r="J934" s="4" t="n">
        <v>85</v>
      </c>
      <c r="K934" s="5" t="n">
        <v>1988.2</v>
      </c>
      <c r="L934" s="4" t="n">
        <v>523</v>
      </c>
      <c r="M934" s="4" t="n">
        <v>158</v>
      </c>
      <c r="N934" s="5" t="n">
        <v>1069.6</v>
      </c>
      <c r="O934" s="3" t="inlineStr">
        <is>
          <t>2025년 신축 리스크 적은 상가주택 상가임대완료</t>
        </is>
      </c>
      <c r="P934" s="6">
        <f>HYPERLINK("https://fin.land.naver.com/articles/2655925569", "매물Link")</f>
        <v/>
      </c>
      <c r="Q934" s="6">
        <f>HYPERLINK("https://map.naver.com/p/search/오송읍 봉산리 1262", "지도Link")</f>
        <v/>
      </c>
      <c r="R934" s="6">
        <f>HYPERLINK("http://www.eum.go.kr/web/ar/lu/luLandDet.jsp?pnu=4311325031112620000&amp;isNoScr=script&amp;mode=search", "토지이음")</f>
        <v/>
      </c>
      <c r="S934" s="3" t="inlineStr">
        <is>
          <t>프렌즈</t>
        </is>
      </c>
      <c r="T934" s="4" t="n">
        <v>1</v>
      </c>
      <c r="U934" s="5" t="n">
        <v>236</v>
      </c>
      <c r="V934" s="4" t="n">
        <v>281.6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1262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169000</v>
      </c>
      <c r="H935" s="4" t="n">
        <v>0</v>
      </c>
      <c r="I935" s="4" t="n">
        <v>281</v>
      </c>
      <c r="J935" s="4" t="n">
        <v>85</v>
      </c>
      <c r="K935" s="5" t="n">
        <v>1988.2</v>
      </c>
      <c r="L935" s="4" t="n">
        <v>523</v>
      </c>
      <c r="M935" s="4" t="n">
        <v>158</v>
      </c>
      <c r="N935" s="5" t="n">
        <v>1069.6</v>
      </c>
      <c r="O935" s="3" t="inlineStr">
        <is>
          <t>공실 없는 신축건물 주인세대 거주하며 월 530만원 수익 가능</t>
        </is>
      </c>
      <c r="P935" s="6">
        <f>HYPERLINK("https://fin.land.naver.com/articles/2651796492", "매물Link")</f>
        <v/>
      </c>
      <c r="Q935" s="6">
        <f>HYPERLINK("https://map.naver.com/p/search/오송읍 봉산리 1262", "지도Link")</f>
        <v/>
      </c>
      <c r="R935" s="6">
        <f>HYPERLINK("http://www.eum.go.kr/web/ar/lu/luLandDet.jsp?pnu=4311325031112620000&amp;isNoScr=script&amp;mode=search",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236</v>
      </c>
      <c r="V935" s="4" t="n">
        <v>281.6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500</v>
      </c>
      <c r="H936" s="4" t="n">
        <v>50</v>
      </c>
      <c r="I936" s="4" t="n">
        <v>20</v>
      </c>
      <c r="J936" s="4" t="n">
        <v>6</v>
      </c>
      <c r="K936" s="5" t="n">
        <v>8.300000000000001</v>
      </c>
      <c r="L936" s="4" t="n">
        <v>20</v>
      </c>
      <c r="M936" s="4" t="n">
        <v>6</v>
      </c>
      <c r="N936" s="5" t="n">
        <v>8.300000000000001</v>
      </c>
      <c r="O936" s="3" t="inlineStr">
        <is>
          <t>귀한 원룸. 즉시입주가능. 분리형 원룸</t>
        </is>
      </c>
      <c r="P936" s="6">
        <f>HYPERLINK("https://fin.land.naver.com/articles/2653292527", "매물Link")</f>
        <v/>
      </c>
      <c r="Q936" s="6">
        <f>HYPERLINK("https://map.naver.com/p/search/오송읍 봉산리 1263", "지도Link")</f>
        <v/>
      </c>
      <c r="R936" s="6">
        <f>HYPERLINK("http://www.eum.go.kr/web/ar/lu/luLandDet.jsp?pnu=4311325031112630000&amp;isNoScr=script&amp;mode=search", "토지이음")</f>
        <v/>
      </c>
      <c r="S936" s="3" t="inlineStr">
        <is>
          <t>당근플러스</t>
        </is>
      </c>
      <c r="T936" s="4" t="n">
        <v>1</v>
      </c>
      <c r="U936" s="5" t="n">
        <v>305.4</v>
      </c>
      <c r="V936" s="4" t="n">
        <v>274.7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1273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500</v>
      </c>
      <c r="H937" s="4" t="n">
        <v>50</v>
      </c>
      <c r="I937" s="4" t="n">
        <v>153</v>
      </c>
      <c r="J937" s="4" t="n">
        <v>46</v>
      </c>
      <c r="K937" s="5" t="n">
        <v>1.1</v>
      </c>
      <c r="L937" s="4" t="n">
        <v>24</v>
      </c>
      <c r="M937" s="4" t="n">
        <v>7</v>
      </c>
      <c r="N937" s="5" t="n">
        <v>7.1</v>
      </c>
      <c r="O937" s="3" t="inlineStr">
        <is>
          <t>원룸 오송역세권10분거리  인프라좋고 주변편의시설확충 편의점 공원 영화관</t>
        </is>
      </c>
      <c r="P937" s="6">
        <f>HYPERLINK("https://fin.land.naver.com/articles/2655706333", "매물Link")</f>
        <v/>
      </c>
      <c r="Q937" s="6">
        <f>HYPERLINK("https://map.naver.com/p/search/오송읍 봉산리 1273", "지도Link")</f>
        <v/>
      </c>
      <c r="R937" s="6">
        <f>HYPERLINK("http://www.eum.go.kr/web/ar/lu/luLandDet.jsp?pnu=4311325031112730000&amp;isNoScr=script&amp;mode=search", "토지이음")</f>
        <v/>
      </c>
      <c r="S937" s="3" t="inlineStr">
        <is>
          <t>하림</t>
        </is>
      </c>
      <c r="T937" s="4" t="n">
        <v>1</v>
      </c>
      <c r="U937" s="5" t="n">
        <v>206.3</v>
      </c>
      <c r="V937" s="4" t="n">
        <v>276.4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1285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195000</v>
      </c>
      <c r="H938" s="4" t="n">
        <v>0</v>
      </c>
      <c r="I938" s="4" t="n">
        <v>275</v>
      </c>
      <c r="J938" s="4" t="n">
        <v>83</v>
      </c>
      <c r="K938" s="5" t="n">
        <v>2349.4</v>
      </c>
      <c r="L938" s="4" t="n">
        <v>549</v>
      </c>
      <c r="M938" s="4" t="n">
        <v>166</v>
      </c>
      <c r="N938" s="5" t="n">
        <v>1174.7</v>
      </c>
      <c r="O938" s="3" t="inlineStr">
        <is>
          <t>오송 12산단 관통도로에 위치한 코너 상가주택, 공실걱정 적은 입지</t>
        </is>
      </c>
      <c r="P938" s="6">
        <f>HYPERLINK("https://fin.land.naver.com/articles/2655758400", "매물Link")</f>
        <v/>
      </c>
      <c r="Q938" s="6">
        <f>HYPERLINK("https://map.naver.com/p/search/오송읍 봉산리 1285", "지도Link")</f>
        <v/>
      </c>
      <c r="R938" s="6">
        <f>HYPERLINK("http://www.eum.go.kr/web/ar/lu/luLandDet.jsp?pnu=4311325031112850000&amp;isNoScr=script&amp;mode=search", "토지이음")</f>
        <v/>
      </c>
      <c r="S938" s="3" t="inlineStr">
        <is>
          <t>광장</t>
        </is>
      </c>
      <c r="T938" s="4" t="n">
        <v>2</v>
      </c>
      <c r="U938" s="5" t="n">
        <v>250.2</v>
      </c>
      <c r="V938" s="4" t="n">
        <v>275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1285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195000</v>
      </c>
      <c r="H939" s="4" t="n">
        <v>0</v>
      </c>
      <c r="I939" s="4" t="n">
        <v>275</v>
      </c>
      <c r="J939" s="4" t="n">
        <v>83</v>
      </c>
      <c r="K939" s="5" t="n">
        <v>2349.4</v>
      </c>
      <c r="L939" s="4" t="n">
        <v>549</v>
      </c>
      <c r="M939" s="4" t="n">
        <v>166</v>
      </c>
      <c r="N939" s="5" t="n">
        <v>1174.7</v>
      </c>
      <c r="O939" s="3" t="inlineStr">
        <is>
          <t>오송역 프리미엄 체감입지, 대로변 예쁜 건물, 실거주하면서 월세받으세요</t>
        </is>
      </c>
      <c r="P939" s="6">
        <f>HYPERLINK("https://fin.land.naver.com/articles/2653989858", "매물Link")</f>
        <v/>
      </c>
      <c r="Q939" s="6">
        <f>HYPERLINK("https://map.naver.com/p/search/오송읍 봉산리 1285", "지도Link")</f>
        <v/>
      </c>
      <c r="R939" s="6">
        <f>HYPERLINK("http://www.eum.go.kr/web/ar/lu/luLandDet.jsp?pnu=4311325031112850000&amp;isNoScr=script&amp;mode=search", "토지이음")</f>
        <v/>
      </c>
      <c r="S939" s="3" t="inlineStr">
        <is>
          <t>프로</t>
        </is>
      </c>
      <c r="T939" s="4" t="n">
        <v>1</v>
      </c>
      <c r="U939" s="5" t="n">
        <v>250.2</v>
      </c>
      <c r="V939" s="4" t="n">
        <v>275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1285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195000</v>
      </c>
      <c r="H940" s="4" t="n">
        <v>0</v>
      </c>
      <c r="I940" s="4" t="n">
        <v>275</v>
      </c>
      <c r="J940" s="4" t="n">
        <v>83</v>
      </c>
      <c r="K940" s="5" t="n">
        <v>2349.4</v>
      </c>
      <c r="L940" s="4" t="n">
        <v>549</v>
      </c>
      <c r="M940" s="4" t="n">
        <v>166</v>
      </c>
      <c r="N940" s="5" t="n">
        <v>1174.7</v>
      </c>
      <c r="O940" s="3" t="inlineStr">
        <is>
          <t>3면 코너 뻥뷰 돈들여 잘 지은 집</t>
        </is>
      </c>
      <c r="P940" s="6">
        <f>HYPERLINK("https://fin.land.naver.com/articles/2655925520", "매물Link")</f>
        <v/>
      </c>
      <c r="Q940" s="6">
        <f>HYPERLINK("https://map.naver.com/p/search/오송읍 봉산리 1285", "지도Link")</f>
        <v/>
      </c>
      <c r="R940" s="6">
        <f>HYPERLINK("http://www.eum.go.kr/web/ar/lu/luLandDet.jsp?pnu=4311325031112850000&amp;isNoScr=script&amp;mode=search", "토지이음")</f>
        <v/>
      </c>
      <c r="S940" s="3" t="inlineStr">
        <is>
          <t>프렌즈</t>
        </is>
      </c>
      <c r="T940" s="4" t="n">
        <v>1</v>
      </c>
      <c r="U940" s="5" t="n">
        <v>250.2</v>
      </c>
      <c r="V940" s="4" t="n">
        <v>275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1354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110000</v>
      </c>
      <c r="H941" s="4" t="n">
        <v>0</v>
      </c>
      <c r="I941" s="4" t="n">
        <v>268</v>
      </c>
      <c r="J941" s="4" t="n">
        <v>81</v>
      </c>
      <c r="K941" s="5" t="n">
        <v>1358</v>
      </c>
      <c r="L941" s="4" t="n">
        <v>377</v>
      </c>
      <c r="M941" s="4" t="n">
        <v>114</v>
      </c>
      <c r="N941" s="5" t="n">
        <v>964.9</v>
      </c>
      <c r="O941" s="3" t="inlineStr">
        <is>
          <t>오송역 가까운 상가주택 매매</t>
        </is>
      </c>
      <c r="P941" s="6">
        <f>HYPERLINK("https://fin.land.naver.com/articles/2650901943", "매물Link")</f>
        <v/>
      </c>
      <c r="Q941" s="6">
        <f>HYPERLINK("https://map.naver.com/p/search/오송읍 봉산리 1354", "지도Link")</f>
        <v/>
      </c>
      <c r="R941" s="6">
        <f>HYPERLINK("http://www.eum.go.kr/web/ar/lu/luLandDet.jsp?pnu=4311325031113540000&amp;isNoScr=script&amp;mode=search", "토지이음")</f>
        <v/>
      </c>
      <c r="S941" s="3" t="inlineStr">
        <is>
          <t>오송좋은날</t>
        </is>
      </c>
      <c r="T941" s="4" t="n">
        <v>1</v>
      </c>
      <c r="U941" s="5" t="n">
        <v>281.2</v>
      </c>
      <c r="V941" s="4" t="n">
        <v>268.1</v>
      </c>
      <c r="W941" s="3" t="inlineStr">
        <is>
          <t>지정되지않음</t>
        </is>
      </c>
      <c r="X941" s="3" t="inlineStr">
        <is>
          <t>주상용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중로각지</t>
        </is>
      </c>
    </row>
    <row r="942">
      <c r="A942" s="3" t="inlineStr">
        <is>
          <t>오송읍 봉산리 1354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268</v>
      </c>
      <c r="J942" s="4" t="n">
        <v>81</v>
      </c>
      <c r="K942" s="5" t="n">
        <v>1358</v>
      </c>
      <c r="L942" s="4" t="n">
        <v>377</v>
      </c>
      <c r="M942" s="4" t="n">
        <v>114</v>
      </c>
      <c r="N942" s="5" t="n">
        <v>964.9</v>
      </c>
      <c r="O942" s="3" t="inlineStr">
        <is>
          <t>9번출구 예정지 맛집 임대완료 2층 3층 동일구조 가족단위 거주 추</t>
        </is>
      </c>
      <c r="P942" s="6">
        <f>HYPERLINK("https://fin.land.naver.com/articles/2654445752", "매물Link")</f>
        <v/>
      </c>
      <c r="Q942" s="6">
        <f>HYPERLINK("https://map.naver.com/p/search/오송읍 봉산리 1354", "지도Link")</f>
        <v/>
      </c>
      <c r="R942" s="6">
        <f>HYPERLINK("http://www.eum.go.kr/web/ar/lu/luLandDet.jsp?pnu=4311325031113540000&amp;isNoScr=script&amp;mode=search",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281.2</v>
      </c>
      <c r="V942" s="4" t="n">
        <v>268.1</v>
      </c>
      <c r="W942" s="3" t="inlineStr">
        <is>
          <t>지정되지않음</t>
        </is>
      </c>
      <c r="X942" s="3" t="inlineStr">
        <is>
          <t>주상용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1354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110000</v>
      </c>
      <c r="H943" s="4" t="n">
        <v>0</v>
      </c>
      <c r="I943" s="4" t="n">
        <v>268</v>
      </c>
      <c r="J943" s="4" t="n">
        <v>81</v>
      </c>
      <c r="K943" s="5" t="n">
        <v>1358</v>
      </c>
      <c r="L943" s="4" t="n">
        <v>377</v>
      </c>
      <c r="M943" s="4" t="n">
        <v>114</v>
      </c>
      <c r="N943" s="5" t="n">
        <v>964.9</v>
      </c>
      <c r="O943" s="3" t="inlineStr">
        <is>
          <t>급매. 다신 없을 가격으로 건물주하세요. 오송역9번출구 3초</t>
        </is>
      </c>
      <c r="P943" s="6">
        <f>HYPERLINK("https://fin.land.naver.com/articles/2654002879", "매물Link")</f>
        <v/>
      </c>
      <c r="Q943" s="6">
        <f>HYPERLINK("https://map.naver.com/p/search/오송읍 봉산리 1354", "지도Link")</f>
        <v/>
      </c>
      <c r="R943" s="6">
        <f>HYPERLINK("http://www.eum.go.kr/web/ar/lu/luLandDet.jsp?pnu=4311325031113540000&amp;isNoScr=script&amp;mode=search",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281.2</v>
      </c>
      <c r="V943" s="4" t="n">
        <v>268.1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중로각지</t>
        </is>
      </c>
    </row>
    <row r="944">
      <c r="A944" s="3" t="inlineStr">
        <is>
          <t>오송읍 봉산리 1354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단독</t>
        </is>
      </c>
      <c r="F944" s="3" t="inlineStr">
        <is>
          <t>월세</t>
        </is>
      </c>
      <c r="G944" s="4" t="n">
        <v>5000</v>
      </c>
      <c r="H944" s="4" t="n">
        <v>51</v>
      </c>
      <c r="I944" s="4" t="n">
        <v>70</v>
      </c>
      <c r="J944" s="4" t="n">
        <v>21</v>
      </c>
      <c r="K944" s="5" t="n">
        <v>2.4</v>
      </c>
      <c r="L944" s="4" t="n">
        <v>45</v>
      </c>
      <c r="M944" s="4" t="n">
        <v>14</v>
      </c>
      <c r="N944" s="5" t="n">
        <v>3.6</v>
      </c>
      <c r="O944" s="3" t="inlineStr">
        <is>
          <t>즉시 입주 ,넓은 투룸, 공원뷰</t>
        </is>
      </c>
      <c r="P944" s="6">
        <f>HYPERLINK("https://fin.land.naver.com/articles/2654326651", "매물Link")</f>
        <v/>
      </c>
      <c r="Q944" s="6">
        <f>HYPERLINK("https://map.naver.com/p/search/오송읍 봉산리 1354", "지도Link")</f>
        <v/>
      </c>
      <c r="R944" s="6">
        <f>HYPERLINK("http://www.eum.go.kr/web/ar/lu/luLandDet.jsp?pnu=4311325031113540000&amp;isNoScr=script&amp;mode=search",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281.2</v>
      </c>
      <c r="V944" s="4" t="n">
        <v>268.1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중로각지</t>
        </is>
      </c>
    </row>
    <row r="945">
      <c r="A945" s="3" t="inlineStr">
        <is>
          <t>오송읍 봉산리 1363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1000</v>
      </c>
      <c r="H945" s="4" t="n">
        <v>45</v>
      </c>
      <c r="I945" s="4" t="n">
        <v>0</v>
      </c>
      <c r="J945" s="4" t="n">
        <v>0</v>
      </c>
      <c r="K945" s="5" t="n">
        <v>0</v>
      </c>
      <c r="L945" s="4" t="n">
        <v>25</v>
      </c>
      <c r="M945" s="4" t="n">
        <v>8</v>
      </c>
      <c r="N945" s="5" t="n">
        <v>5.6</v>
      </c>
      <c r="O945" s="3" t="inlineStr">
        <is>
          <t>KTX오송역 초인근 분리형 원룸 10월 입주 가능,탑층 층간소음 걱정없음</t>
        </is>
      </c>
      <c r="P945" s="6">
        <f>HYPERLINK("https://fin.land.naver.com/articles/2654433409", "매물Link")</f>
        <v/>
      </c>
      <c r="Q945" s="6">
        <f>HYPERLINK("https://map.naver.com/p/search/오송읍 봉산리 1363", "지도Link")</f>
        <v/>
      </c>
      <c r="R945" s="6">
        <f>HYPERLINK("http://www.eum.go.kr/web/ar/lu/luLandDet.jsp?pnu=4311325031113630000&amp;isNoScr=script&amp;mode=search", "토지이음")</f>
        <v/>
      </c>
      <c r="S945" s="3" t="inlineStr">
        <is>
          <t>오송바이오창조</t>
        </is>
      </c>
      <c r="T945" s="4" t="n">
        <v>1</v>
      </c>
      <c r="U945" s="5" t="n">
        <v>215.7</v>
      </c>
      <c r="V945" s="4" t="n">
        <v>408.1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사다리형</t>
        </is>
      </c>
      <c r="AA945" s="3" t="inlineStr">
        <is>
          <t>소로각지</t>
        </is>
      </c>
    </row>
    <row r="946">
      <c r="A946" s="3" t="inlineStr">
        <is>
          <t>오송읍 봉산리 1366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140000</v>
      </c>
      <c r="H946" s="4" t="n">
        <v>0</v>
      </c>
      <c r="I946" s="4" t="n">
        <v>300</v>
      </c>
      <c r="J946" s="4" t="n">
        <v>91</v>
      </c>
      <c r="K946" s="5" t="n">
        <v>1538.5</v>
      </c>
      <c r="L946" s="4" t="n">
        <v>494</v>
      </c>
      <c r="M946" s="4" t="n">
        <v>149</v>
      </c>
      <c r="N946" s="5" t="n">
        <v>939.6</v>
      </c>
      <c r="O946" s="3" t="inlineStr">
        <is>
          <t>nan</t>
        </is>
      </c>
      <c r="P946" s="6">
        <f>HYPERLINK("https://fin.land.naver.com/articles/2652142114", "매물Link")</f>
        <v/>
      </c>
      <c r="Q946" s="6">
        <f>HYPERLINK("https://map.naver.com/p/search/오송읍 봉산리 1366", "지도Link")</f>
        <v/>
      </c>
      <c r="R946" s="6">
        <f>HYPERLINK("http://www.eum.go.kr/web/ar/lu/luLandDet.jsp?pnu=4311325031113660000&amp;isNoScr=script&amp;mode=search",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290</v>
      </c>
      <c r="V946" s="4" t="n">
        <v>300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1366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140000</v>
      </c>
      <c r="H947" s="4" t="n">
        <v>0</v>
      </c>
      <c r="I947" s="4" t="n">
        <v>300</v>
      </c>
      <c r="J947" s="4" t="n">
        <v>91</v>
      </c>
      <c r="K947" s="5" t="n">
        <v>1538.5</v>
      </c>
      <c r="L947" s="4" t="n">
        <v>494</v>
      </c>
      <c r="M947" s="4" t="n">
        <v>149</v>
      </c>
      <c r="N947" s="5" t="n">
        <v>939.6</v>
      </c>
      <c r="O947" s="3" t="inlineStr">
        <is>
          <t>수익률 높은 상가주택</t>
        </is>
      </c>
      <c r="P947" s="6">
        <f>HYPERLINK("https://fin.land.naver.com/articles/2655792803", "매물Link")</f>
        <v/>
      </c>
      <c r="Q947" s="6">
        <f>HYPERLINK("https://map.naver.com/p/search/오송읍 봉산리 1366", "지도Link")</f>
        <v/>
      </c>
      <c r="R947" s="6">
        <f>HYPERLINK("http://www.eum.go.kr/web/ar/lu/luLandDet.jsp?pnu=4311325031113660000&amp;isNoScr=script&amp;mode=search", "토지이음")</f>
        <v/>
      </c>
      <c r="S947" s="3" t="inlineStr">
        <is>
          <t>오송1단지창조</t>
        </is>
      </c>
      <c r="T947" s="4" t="n">
        <v>1</v>
      </c>
      <c r="U947" s="5" t="n">
        <v>290</v>
      </c>
      <c r="V947" s="4" t="n">
        <v>300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1366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140000</v>
      </c>
      <c r="H948" s="4" t="n">
        <v>0</v>
      </c>
      <c r="I948" s="4" t="n">
        <v>300</v>
      </c>
      <c r="J948" s="4" t="n">
        <v>91</v>
      </c>
      <c r="K948" s="5" t="n">
        <v>1538.5</v>
      </c>
      <c r="L948" s="4" t="n">
        <v>494</v>
      </c>
      <c r="M948" s="4" t="n">
        <v>149</v>
      </c>
      <c r="N948" s="5" t="n">
        <v>939.6</v>
      </c>
      <c r="O948" s="3" t="inlineStr">
        <is>
          <t>nan</t>
        </is>
      </c>
      <c r="P948" s="6">
        <f>HYPERLINK("https://fin.land.naver.com/articles/2655925441", "매물Link")</f>
        <v/>
      </c>
      <c r="Q948" s="6">
        <f>HYPERLINK("https://map.naver.com/p/search/오송읍 봉산리 1366", "지도Link")</f>
        <v/>
      </c>
      <c r="R948" s="6">
        <f>HYPERLINK("http://www.eum.go.kr/web/ar/lu/luLandDet.jsp?pnu=4311325031113660000&amp;isNoScr=script&amp;mode=search",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290</v>
      </c>
      <c r="V948" s="4" t="n">
        <v>300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1382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일반원룸</t>
        </is>
      </c>
      <c r="F949" s="3" t="inlineStr">
        <is>
          <t>전세</t>
        </is>
      </c>
      <c r="G949" s="4" t="n">
        <v>8000</v>
      </c>
      <c r="H949" s="4" t="n">
        <v>0</v>
      </c>
      <c r="I949" s="4" t="n">
        <v>51</v>
      </c>
      <c r="J949" s="4" t="n">
        <v>15</v>
      </c>
      <c r="K949" s="5" t="n">
        <v>533.3</v>
      </c>
      <c r="L949" s="4" t="n">
        <v>23</v>
      </c>
      <c r="M949" s="4" t="n">
        <v>7</v>
      </c>
      <c r="N949" s="5" t="n">
        <v>1142.9</v>
      </c>
      <c r="O949" s="3" t="inlineStr">
        <is>
          <t>귀한원룸전세</t>
        </is>
      </c>
      <c r="P949" s="6">
        <f>HYPERLINK("https://fin.land.naver.com/articles/2652207797", "매물Link")</f>
        <v/>
      </c>
      <c r="Q949" s="6">
        <f>HYPERLINK("https://map.naver.com/p/search/오송읍 봉산리 1382", "지도Link")</f>
        <v/>
      </c>
      <c r="R949" s="6">
        <f>HYPERLINK("http://www.eum.go.kr/web/ar/lu/luLandDet.jsp?pnu=4311325031113820000&amp;isNoScr=script&amp;mode=search",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236</v>
      </c>
      <c r="V949" s="4" t="n">
        <v>239.5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1388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153000</v>
      </c>
      <c r="H950" s="4" t="n">
        <v>0</v>
      </c>
      <c r="I950" s="4" t="n">
        <v>270</v>
      </c>
      <c r="J950" s="4" t="n">
        <v>82</v>
      </c>
      <c r="K950" s="5" t="n">
        <v>1865.9</v>
      </c>
      <c r="L950" s="4" t="n">
        <v>494</v>
      </c>
      <c r="M950" s="4" t="n">
        <v>149</v>
      </c>
      <c r="N950" s="5" t="n">
        <v>1026.8</v>
      </c>
      <c r="O950" s="3" t="inlineStr">
        <is>
          <t>수익률 높은 수익형 상가주택</t>
        </is>
      </c>
      <c r="P950" s="6">
        <f>HYPERLINK("https://fin.land.naver.com/articles/2655113441", "매물Link")</f>
        <v/>
      </c>
      <c r="Q950" s="6">
        <f>HYPERLINK("https://map.naver.com/p/search/오송읍 봉산리 1388", "지도Link")</f>
        <v/>
      </c>
      <c r="R950" s="6">
        <f>HYPERLINK("http://www.eum.go.kr/web/ar/lu/luLandDet.jsp?pnu=4311325031113880000&amp;isNoScr=script&amp;mode=search",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207.9</v>
      </c>
      <c r="V950" s="4" t="n">
        <v>270.1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1388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단독</t>
        </is>
      </c>
      <c r="F951" s="3" t="inlineStr">
        <is>
          <t>매매</t>
        </is>
      </c>
      <c r="G951" s="4" t="n">
        <v>153000</v>
      </c>
      <c r="H951" s="4" t="n">
        <v>0</v>
      </c>
      <c r="I951" s="4" t="n">
        <v>270</v>
      </c>
      <c r="J951" s="4" t="n">
        <v>82</v>
      </c>
      <c r="K951" s="5" t="n">
        <v>1865.9</v>
      </c>
      <c r="L951" s="4" t="n">
        <v>494</v>
      </c>
      <c r="M951" s="4" t="n">
        <v>149</v>
      </c>
      <c r="N951" s="5" t="n">
        <v>1026.8</v>
      </c>
      <c r="O951" s="3" t="inlineStr">
        <is>
          <t>추천매물수익율 높으며,누구나 거주하고 싶은 구조,오송역인근 주택매매</t>
        </is>
      </c>
      <c r="P951" s="6">
        <f>HYPERLINK("https://fin.land.naver.com/articles/2655166039", "매물Link")</f>
        <v/>
      </c>
      <c r="Q951" s="6">
        <f>HYPERLINK("https://map.naver.com/p/search/오송읍 봉산리 1388", "지도Link")</f>
        <v/>
      </c>
      <c r="R951" s="6">
        <f>HYPERLINK("http://www.eum.go.kr/web/ar/lu/luLandDet.jsp?pnu=4311325031113880000&amp;isNoScr=script&amp;mode=search",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207.9</v>
      </c>
      <c r="V951" s="4" t="n">
        <v>270.1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1388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153000</v>
      </c>
      <c r="H952" s="4" t="n">
        <v>0</v>
      </c>
      <c r="I952" s="4" t="n">
        <v>270</v>
      </c>
      <c r="J952" s="4" t="n">
        <v>82</v>
      </c>
      <c r="K952" s="5" t="n">
        <v>1865.9</v>
      </c>
      <c r="L952" s="4" t="n">
        <v>494</v>
      </c>
      <c r="M952" s="4" t="n">
        <v>149</v>
      </c>
      <c r="N952" s="5" t="n">
        <v>1026.8</v>
      </c>
      <c r="O952" s="3" t="inlineStr">
        <is>
          <t>오송역 도보거리 주인세대 거주하며 월 560만원 수익가능</t>
        </is>
      </c>
      <c r="P952" s="6">
        <f>HYPERLINK("https://fin.land.naver.com/articles/2654685649", "매물Link")</f>
        <v/>
      </c>
      <c r="Q952" s="6">
        <f>HYPERLINK("https://map.naver.com/p/search/오송읍 봉산리 1388", "지도Link")</f>
        <v/>
      </c>
      <c r="R952" s="6">
        <f>HYPERLINK("http://www.eum.go.kr/web/ar/lu/luLandDet.jsp?pnu=4311325031113880000&amp;isNoScr=script&amp;mode=search", "토지이음")</f>
        <v/>
      </c>
      <c r="S952" s="3" t="inlineStr">
        <is>
          <t>미래n</t>
        </is>
      </c>
      <c r="T952" s="4" t="n">
        <v>1</v>
      </c>
      <c r="U952" s="5" t="n">
        <v>207.9</v>
      </c>
      <c r="V952" s="4" t="n">
        <v>270.1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1388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170000</v>
      </c>
      <c r="H953" s="4" t="n">
        <v>0</v>
      </c>
      <c r="I953" s="4" t="n">
        <v>270</v>
      </c>
      <c r="J953" s="4" t="n">
        <v>82</v>
      </c>
      <c r="K953" s="5" t="n">
        <v>2073.2</v>
      </c>
      <c r="L953" s="4" t="n">
        <v>494</v>
      </c>
      <c r="M953" s="4" t="n">
        <v>149</v>
      </c>
      <c r="N953" s="5" t="n">
        <v>1140.9</v>
      </c>
      <c r="O953" s="3" t="inlineStr">
        <is>
          <t>오송역세권. 가치상승기대. 대로변인근</t>
        </is>
      </c>
      <c r="P953" s="6">
        <f>HYPERLINK("https://fin.land.naver.com/articles/2651309277", "매물Link")</f>
        <v/>
      </c>
      <c r="Q953" s="6">
        <f>HYPERLINK("https://map.naver.com/p/search/오송읍 봉산리 1388", "지도Link")</f>
        <v/>
      </c>
      <c r="R953" s="6">
        <f>HYPERLINK("http://www.eum.go.kr/web/ar/lu/luLandDet.jsp?pnu=4311325031113880000&amp;isNoScr=script&amp;mode=search", "토지이음")</f>
        <v/>
      </c>
      <c r="S953" s="3" t="inlineStr">
        <is>
          <t>노른자</t>
        </is>
      </c>
      <c r="T953" s="4" t="n">
        <v>1</v>
      </c>
      <c r="U953" s="5" t="n">
        <v>207.9</v>
      </c>
      <c r="V953" s="4" t="n">
        <v>270.1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1400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168000</v>
      </c>
      <c r="H954" s="4" t="n">
        <v>0</v>
      </c>
      <c r="I954" s="4" t="n">
        <v>281</v>
      </c>
      <c r="J954" s="4" t="n">
        <v>85</v>
      </c>
      <c r="K954" s="5" t="n">
        <v>1976.5</v>
      </c>
      <c r="L954" s="4" t="n">
        <v>561</v>
      </c>
      <c r="M954" s="4" t="n">
        <v>170</v>
      </c>
      <c r="N954" s="5" t="n">
        <v>988.2</v>
      </c>
      <c r="O954" s="3" t="inlineStr">
        <is>
          <t>감탄나오는 공원뷰 주인세대, 인프라 짱,  오송역 도보가능</t>
        </is>
      </c>
      <c r="P954" s="6">
        <f>HYPERLINK("https://fin.land.naver.com/articles/2653753236", "매물Link")</f>
        <v/>
      </c>
      <c r="Q954" s="6">
        <f>HYPERLINK("https://map.naver.com/p/search/오송읍 봉산리 1400", "지도Link")</f>
        <v/>
      </c>
      <c r="R954" s="6">
        <f>HYPERLINK("http://www.eum.go.kr/web/ar/lu/luLandDet.jsp?pnu=4311325031114000000&amp;isNoScr=script&amp;mode=search",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339.2</v>
      </c>
      <c r="V954" s="4" t="n">
        <v>281.4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1400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168000</v>
      </c>
      <c r="H955" s="4" t="n">
        <v>0</v>
      </c>
      <c r="I955" s="4" t="n">
        <v>281</v>
      </c>
      <c r="J955" s="4" t="n">
        <v>85</v>
      </c>
      <c r="K955" s="5" t="n">
        <v>1976.5</v>
      </c>
      <c r="L955" s="4" t="n">
        <v>561</v>
      </c>
      <c r="M955" s="4" t="n">
        <v>170</v>
      </c>
      <c r="N955" s="5" t="n">
        <v>988.2</v>
      </c>
      <c r="O955" s="3" t="inlineStr">
        <is>
          <t>내 집앞 공원이 있으며, 막힘없는 뷰,수익율이 좋은 매매 매물입니다</t>
        </is>
      </c>
      <c r="P955" s="6">
        <f>HYPERLINK("https://fin.land.naver.com/articles/2655173326", "매물Link")</f>
        <v/>
      </c>
      <c r="Q955" s="6">
        <f>HYPERLINK("https://map.naver.com/p/search/오송읍 봉산리 1400", "지도Link")</f>
        <v/>
      </c>
      <c r="R955" s="6">
        <f>HYPERLINK("http://www.eum.go.kr/web/ar/lu/luLandDet.jsp?pnu=4311325031114000000&amp;isNoScr=script&amp;mode=search",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339.2</v>
      </c>
      <c r="V955" s="4" t="n">
        <v>281.4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1400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168000</v>
      </c>
      <c r="H956" s="4" t="n">
        <v>0</v>
      </c>
      <c r="I956" s="4" t="n">
        <v>281</v>
      </c>
      <c r="J956" s="4" t="n">
        <v>85</v>
      </c>
      <c r="K956" s="5" t="n">
        <v>1976.5</v>
      </c>
      <c r="L956" s="4" t="n">
        <v>561</v>
      </c>
      <c r="M956" s="4" t="n">
        <v>170</v>
      </c>
      <c r="N956" s="5" t="n">
        <v>988.2</v>
      </c>
      <c r="O956" s="3" t="inlineStr">
        <is>
          <t>수익률 높고 관리 잘 되었있는 상가주택</t>
        </is>
      </c>
      <c r="P956" s="6">
        <f>HYPERLINK("https://fin.land.naver.com/articles/2654907070", "매물Link")</f>
        <v/>
      </c>
      <c r="Q956" s="6">
        <f>HYPERLINK("https://map.naver.com/p/search/오송읍 봉산리 1400", "지도Link")</f>
        <v/>
      </c>
      <c r="R956" s="6">
        <f>HYPERLINK("http://www.eum.go.kr/web/ar/lu/luLandDet.jsp?pnu=4311325031114000000&amp;isNoScr=script&amp;mode=search", "토지이음")</f>
        <v/>
      </c>
      <c r="S956" s="3" t="inlineStr">
        <is>
          <t>오송1단지창조</t>
        </is>
      </c>
      <c r="T956" s="4" t="n">
        <v>1</v>
      </c>
      <c r="U956" s="5" t="n">
        <v>339.2</v>
      </c>
      <c r="V956" s="4" t="n">
        <v>281.4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1400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다가구</t>
        </is>
      </c>
      <c r="F957" s="3" t="inlineStr">
        <is>
          <t>매매</t>
        </is>
      </c>
      <c r="G957" s="4" t="n">
        <v>168000</v>
      </c>
      <c r="H957" s="4" t="n">
        <v>0</v>
      </c>
      <c r="I957" s="4" t="n">
        <v>281</v>
      </c>
      <c r="J957" s="4" t="n">
        <v>85</v>
      </c>
      <c r="K957" s="5" t="n">
        <v>1976.5</v>
      </c>
      <c r="L957" s="4" t="n">
        <v>561</v>
      </c>
      <c r="M957" s="4" t="n">
        <v>170</v>
      </c>
      <c r="N957" s="5" t="n">
        <v>988.2</v>
      </c>
      <c r="O957" s="3" t="inlineStr">
        <is>
          <t>탁트인 거실뷰 맛집, 살고싶은 집,공원이 함께하는 집</t>
        </is>
      </c>
      <c r="P957" s="6">
        <f>HYPERLINK("https://fin.land.naver.com/articles/2656441070", "매물Link")</f>
        <v/>
      </c>
      <c r="Q957" s="6">
        <f>HYPERLINK("https://map.naver.com/p/search/오송읍 봉산리 1400", "지도Link")</f>
        <v/>
      </c>
      <c r="R957" s="6">
        <f>HYPERLINK("http://www.eum.go.kr/web/ar/lu/luLandDet.jsp?pnu=4311325031114000000&amp;isNoScr=script&amp;mode=search",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339.2</v>
      </c>
      <c r="V957" s="4" t="n">
        <v>281.4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1400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168000</v>
      </c>
      <c r="H958" s="4" t="n">
        <v>0</v>
      </c>
      <c r="I958" s="4" t="n">
        <v>281</v>
      </c>
      <c r="J958" s="4" t="n">
        <v>85</v>
      </c>
      <c r="K958" s="5" t="n">
        <v>1976.5</v>
      </c>
      <c r="L958" s="4" t="n">
        <v>561</v>
      </c>
      <c r="M958" s="4" t="n">
        <v>170</v>
      </c>
      <c r="N958" s="5" t="n">
        <v>988.2</v>
      </c>
      <c r="O958" s="3" t="inlineStr">
        <is>
          <t>대로변,공원맞은편,입지조건최상,수익율7프로</t>
        </is>
      </c>
      <c r="P958" s="6">
        <f>HYPERLINK("https://fin.land.naver.com/articles/2651377930", "매물Link")</f>
        <v/>
      </c>
      <c r="Q958" s="6">
        <f>HYPERLINK("https://map.naver.com/p/search/오송읍 봉산리 1400", "지도Link")</f>
        <v/>
      </c>
      <c r="R958" s="6">
        <f>HYPERLINK("http://www.eum.go.kr/web/ar/lu/luLandDet.jsp?pnu=4311325031114000000&amp;isNoScr=script&amp;mode=search",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339.2</v>
      </c>
      <c r="V958" s="4" t="n">
        <v>281.4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1403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월세</t>
        </is>
      </c>
      <c r="G959" s="4" t="n">
        <v>2000</v>
      </c>
      <c r="H959" s="4" t="n">
        <v>90</v>
      </c>
      <c r="I959" s="4" t="n">
        <v>138</v>
      </c>
      <c r="J959" s="4" t="n">
        <v>42</v>
      </c>
      <c r="K959" s="5" t="n">
        <v>2.1</v>
      </c>
      <c r="L959" s="4" t="n">
        <v>59</v>
      </c>
      <c r="M959" s="4" t="n">
        <v>18</v>
      </c>
      <c r="N959" s="5" t="n">
        <v>5</v>
      </c>
      <c r="O959" s="3" t="inlineStr">
        <is>
          <t>쓰리룸 오송역세권으로 인프라좋고 주변편의시설확충 파출소 공원 대형마트</t>
        </is>
      </c>
      <c r="P959" s="6">
        <f>HYPERLINK("https://fin.land.naver.com/articles/2652563343", "매물Link")</f>
        <v/>
      </c>
      <c r="Q959" s="6">
        <f>HYPERLINK("https://map.naver.com/p/search/오송읍 봉산리 1403", "지도Link")</f>
        <v/>
      </c>
      <c r="R959" s="6">
        <f>HYPERLINK("http://www.eum.go.kr/web/ar/lu/luLandDet.jsp?pnu=4311325031114030000&amp;isNoScr=script&amp;mode=search", "토지이음")</f>
        <v/>
      </c>
      <c r="S959" s="3" t="inlineStr">
        <is>
          <t>하림</t>
        </is>
      </c>
      <c r="T959" s="4" t="n">
        <v>1</v>
      </c>
      <c r="U959" s="5" t="n">
        <v>339.2</v>
      </c>
      <c r="V959" s="4" t="n">
        <v>274.5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1403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다가구</t>
        </is>
      </c>
      <c r="F960" s="3" t="inlineStr">
        <is>
          <t>월세</t>
        </is>
      </c>
      <c r="G960" s="4" t="n">
        <v>2000</v>
      </c>
      <c r="H960" s="4" t="n">
        <v>105</v>
      </c>
      <c r="I960" s="4" t="n">
        <v>59</v>
      </c>
      <c r="J960" s="4" t="n">
        <v>18</v>
      </c>
      <c r="K960" s="5" t="n">
        <v>5.8</v>
      </c>
      <c r="L960" s="4" t="n">
        <v>59</v>
      </c>
      <c r="M960" s="4" t="n">
        <v>18</v>
      </c>
      <c r="N960" s="5" t="n">
        <v>5.8</v>
      </c>
      <c r="O960" s="3" t="inlineStr">
        <is>
          <t>10월 중순 입주가능, 화장실 2개 쓰리룸, 채광좋고 따뜻한 집</t>
        </is>
      </c>
      <c r="P960" s="6">
        <f>HYPERLINK("https://fin.land.naver.com/articles/2654353146", "매물Link")</f>
        <v/>
      </c>
      <c r="Q960" s="6">
        <f>HYPERLINK("https://map.naver.com/p/search/오송읍 봉산리 1403", "지도Link")</f>
        <v/>
      </c>
      <c r="R960" s="6">
        <f>HYPERLINK("http://www.eum.go.kr/web/ar/lu/luLandDet.jsp?pnu=4311325031114030000&amp;isNoScr=script&amp;mode=search", "토지이음")</f>
        <v/>
      </c>
      <c r="S960" s="3" t="inlineStr">
        <is>
          <t>광장</t>
        </is>
      </c>
      <c r="T960" s="4" t="n">
        <v>1</v>
      </c>
      <c r="U960" s="5" t="n">
        <v>339.2</v>
      </c>
      <c r="V960" s="4" t="n">
        <v>274.5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1404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165000</v>
      </c>
      <c r="H961" s="4" t="n">
        <v>0</v>
      </c>
      <c r="I961" s="4" t="n">
        <v>247</v>
      </c>
      <c r="J961" s="4" t="n">
        <v>75</v>
      </c>
      <c r="K961" s="5" t="n">
        <v>2200</v>
      </c>
      <c r="L961" s="4" t="n">
        <v>492</v>
      </c>
      <c r="M961" s="4" t="n">
        <v>149</v>
      </c>
      <c r="N961" s="5" t="n">
        <v>1107.4</v>
      </c>
      <c r="O961" s="3" t="inlineStr">
        <is>
          <t>오송역세권,주인세대첫입주,코너건물</t>
        </is>
      </c>
      <c r="P961" s="6">
        <f>HYPERLINK("https://fin.land.naver.com/articles/2653786688", "매물Link")</f>
        <v/>
      </c>
      <c r="Q961" s="6">
        <f>HYPERLINK("https://map.naver.com/p/search/오송읍 봉산리 1404", "지도Link")</f>
        <v/>
      </c>
      <c r="R961" s="6">
        <f>HYPERLINK("http://www.eum.go.kr/web/ar/lu/luLandDet.jsp?pnu=4311325031114040000&amp;isNoScr=script&amp;mode=search", "토지이음")</f>
        <v/>
      </c>
      <c r="S961" s="3" t="inlineStr">
        <is>
          <t>오송올래</t>
        </is>
      </c>
      <c r="T961" s="4" t="n">
        <v>1</v>
      </c>
      <c r="U961" s="5" t="n">
        <v>250.2</v>
      </c>
      <c r="V961" s="4" t="n">
        <v>247.5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1404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165000</v>
      </c>
      <c r="H962" s="4" t="n">
        <v>0</v>
      </c>
      <c r="I962" s="4" t="n">
        <v>247</v>
      </c>
      <c r="J962" s="4" t="n">
        <v>75</v>
      </c>
      <c r="K962" s="5" t="n">
        <v>2200</v>
      </c>
      <c r="L962" s="4" t="n">
        <v>492</v>
      </c>
      <c r="M962" s="4" t="n">
        <v>149</v>
      </c>
      <c r="N962" s="5" t="n">
        <v>1107.4</v>
      </c>
      <c r="O962" s="3" t="inlineStr">
        <is>
          <t>원룸촌 중앙에 위치한 사거리 코너 건물</t>
        </is>
      </c>
      <c r="P962" s="6">
        <f>HYPERLINK("https://fin.land.naver.com/articles/2653091295", "매물Link")</f>
        <v/>
      </c>
      <c r="Q962" s="6">
        <f>HYPERLINK("https://map.naver.com/p/search/오송읍 봉산리 1404", "지도Link")</f>
        <v/>
      </c>
      <c r="R962" s="6">
        <f>HYPERLINK("http://www.eum.go.kr/web/ar/lu/luLandDet.jsp?pnu=4311325031114040000&amp;isNoScr=script&amp;mode=search", "토지이음")</f>
        <v/>
      </c>
      <c r="S962" s="3" t="inlineStr">
        <is>
          <t>아시아</t>
        </is>
      </c>
      <c r="T962" s="4" t="n">
        <v>1</v>
      </c>
      <c r="U962" s="5" t="n">
        <v>250.2</v>
      </c>
      <c r="V962" s="4" t="n">
        <v>247.5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소로각지</t>
        </is>
      </c>
    </row>
    <row r="963">
      <c r="A963" s="3" t="inlineStr">
        <is>
          <t>오송읍 봉산리 1404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165000</v>
      </c>
      <c r="H963" s="4" t="n">
        <v>0</v>
      </c>
      <c r="I963" s="4" t="n">
        <v>247</v>
      </c>
      <c r="J963" s="4" t="n">
        <v>75</v>
      </c>
      <c r="K963" s="5" t="n">
        <v>2200</v>
      </c>
      <c r="L963" s="4" t="n">
        <v>455</v>
      </c>
      <c r="M963" s="4" t="n">
        <v>138</v>
      </c>
      <c r="N963" s="5" t="n">
        <v>1195.7</v>
      </c>
      <c r="O963" s="3" t="inlineStr">
        <is>
          <t>반짝반짝 신축. 임대수요 확실한 투자처. 안정적 월세받으세요</t>
        </is>
      </c>
      <c r="P963" s="6">
        <f>HYPERLINK("https://fin.land.naver.com/articles/2653986100", "매물Link")</f>
        <v/>
      </c>
      <c r="Q963" s="6">
        <f>HYPERLINK("https://map.naver.com/p/search/오송읍 봉산리 1404", "지도Link")</f>
        <v/>
      </c>
      <c r="R963" s="6">
        <f>HYPERLINK("http://www.eum.go.kr/web/ar/lu/luLandDet.jsp?pnu=4311325031114040000&amp;isNoScr=script&amp;mode=search",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250.2</v>
      </c>
      <c r="V963" s="4" t="n">
        <v>247.5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소로각지</t>
        </is>
      </c>
    </row>
    <row r="964">
      <c r="A964" s="3" t="inlineStr">
        <is>
          <t>오송읍 봉산리 1404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247</v>
      </c>
      <c r="J964" s="4" t="n">
        <v>75</v>
      </c>
      <c r="K964" s="5" t="n">
        <v>2253.3</v>
      </c>
      <c r="L964" s="4" t="n">
        <v>492</v>
      </c>
      <c r="M964" s="4" t="n">
        <v>149</v>
      </c>
      <c r="N964" s="5" t="n">
        <v>1134.2</v>
      </c>
      <c r="O964" s="3" t="inlineStr">
        <is>
          <t>오송역 가까운 다가구주택</t>
        </is>
      </c>
      <c r="P964" s="6">
        <f>HYPERLINK("https://fin.land.naver.com/articles/2653410829", "매물Link")</f>
        <v/>
      </c>
      <c r="Q964" s="6">
        <f>HYPERLINK("https://map.naver.com/p/search/오송읍 봉산리 1404", "지도Link")</f>
        <v/>
      </c>
      <c r="R964" s="6">
        <f>HYPERLINK("http://www.eum.go.kr/web/ar/lu/luLandDet.jsp?pnu=4311325031114040000&amp;isNoScr=script&amp;mode=search", "토지이음")</f>
        <v/>
      </c>
      <c r="S964" s="3" t="inlineStr">
        <is>
          <t>오송좋은날</t>
        </is>
      </c>
      <c r="T964" s="4" t="n">
        <v>1</v>
      </c>
      <c r="U964" s="5" t="n">
        <v>250.2</v>
      </c>
      <c r="V964" s="4" t="n">
        <v>247.5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소로각지</t>
        </is>
      </c>
    </row>
    <row r="965">
      <c r="A965" s="3" t="inlineStr">
        <is>
          <t>오송읍 봉산리 1404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165000</v>
      </c>
      <c r="H965" s="4" t="n">
        <v>0</v>
      </c>
      <c r="I965" s="4" t="n">
        <v>247</v>
      </c>
      <c r="J965" s="4" t="n">
        <v>75</v>
      </c>
      <c r="K965" s="5" t="n">
        <v>2200</v>
      </c>
      <c r="L965" s="4" t="n">
        <v>492</v>
      </c>
      <c r="M965" s="4" t="n">
        <v>149</v>
      </c>
      <c r="N965" s="5" t="n">
        <v>1107.4</v>
      </c>
      <c r="O965" s="3" t="inlineStr">
        <is>
          <t>오송역 도보권 신축건물 주인세대 거주하며 548만 수익</t>
        </is>
      </c>
      <c r="P965" s="6">
        <f>HYPERLINK("https://fin.land.naver.com/articles/2655517402", "매물Link")</f>
        <v/>
      </c>
      <c r="Q965" s="6">
        <f>HYPERLINK("https://map.naver.com/p/search/오송읍 봉산리 1404", "지도Link")</f>
        <v/>
      </c>
      <c r="R965" s="6">
        <f>HYPERLINK("http://www.eum.go.kr/web/ar/lu/luLandDet.jsp?pnu=4311325031114040000&amp;isNoScr=script&amp;mode=search",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250.2</v>
      </c>
      <c r="V965" s="4" t="n">
        <v>247.5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소로각지</t>
        </is>
      </c>
    </row>
    <row r="966">
      <c r="A966" s="3" t="inlineStr">
        <is>
          <t>오송읍 봉산리 1404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169000</v>
      </c>
      <c r="H966" s="4" t="n">
        <v>0</v>
      </c>
      <c r="I966" s="4" t="n">
        <v>247</v>
      </c>
      <c r="J966" s="4" t="n">
        <v>75</v>
      </c>
      <c r="K966" s="5" t="n">
        <v>2253.3</v>
      </c>
      <c r="L966" s="4" t="n">
        <v>492</v>
      </c>
      <c r="M966" s="4" t="n">
        <v>149</v>
      </c>
      <c r="N966" s="5" t="n">
        <v>1134.2</v>
      </c>
      <c r="O966" s="3" t="inlineStr">
        <is>
          <t>2025년 신축. 코너건물로 가치 상승 기대</t>
        </is>
      </c>
      <c r="P966" s="6">
        <f>HYPERLINK("https://fin.land.naver.com/articles/2651061199", "매물Link")</f>
        <v/>
      </c>
      <c r="Q966" s="6">
        <f>HYPERLINK("https://map.naver.com/p/search/오송읍 봉산리 1404", "지도Link")</f>
        <v/>
      </c>
      <c r="R966" s="6">
        <f>HYPERLINK("http://www.eum.go.kr/web/ar/lu/luLandDet.jsp?pnu=4311325031114040000&amp;isNoScr=script&amp;mode=search", "토지이음")</f>
        <v/>
      </c>
      <c r="S966" s="3" t="inlineStr">
        <is>
          <t>노른자</t>
        </is>
      </c>
      <c r="T966" s="4" t="n">
        <v>1</v>
      </c>
      <c r="U966" s="5" t="n">
        <v>250.2</v>
      </c>
      <c r="V966" s="4" t="n">
        <v>247.5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소로각지</t>
        </is>
      </c>
    </row>
    <row r="967">
      <c r="A967" s="3" t="inlineStr">
        <is>
          <t>오송읍 봉산리 1404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247</v>
      </c>
      <c r="J967" s="4" t="n">
        <v>75</v>
      </c>
      <c r="K967" s="5" t="n">
        <v>2200</v>
      </c>
      <c r="L967" s="4" t="n">
        <v>492</v>
      </c>
      <c r="M967" s="4" t="n">
        <v>149</v>
      </c>
      <c r="N967" s="5" t="n">
        <v>1107.4</v>
      </c>
      <c r="O967" s="3" t="inlineStr">
        <is>
          <t>코너입지 2025년 신축건물</t>
        </is>
      </c>
      <c r="P967" s="6">
        <f>HYPERLINK("https://fin.land.naver.com/articles/2655925528", "매물Link")</f>
        <v/>
      </c>
      <c r="Q967" s="6">
        <f>HYPERLINK("https://map.naver.com/p/search/오송읍 봉산리 1404", "지도Link")</f>
        <v/>
      </c>
      <c r="R967" s="6">
        <f>HYPERLINK("http://www.eum.go.kr/web/ar/lu/luLandDet.jsp?pnu=4311325031114040000&amp;isNoScr=script&amp;mode=search", "토지이음")</f>
        <v/>
      </c>
      <c r="S967" s="3" t="inlineStr">
        <is>
          <t>프렌즈</t>
        </is>
      </c>
      <c r="T967" s="4" t="n">
        <v>2</v>
      </c>
      <c r="U967" s="5" t="n">
        <v>250.2</v>
      </c>
      <c r="V967" s="4" t="n">
        <v>247.5</v>
      </c>
      <c r="W967" s="3" t="inlineStr">
        <is>
          <t>지정되지않음</t>
        </is>
      </c>
      <c r="X967" s="3" t="inlineStr">
        <is>
          <t>주상기타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소로각지</t>
        </is>
      </c>
    </row>
    <row r="968">
      <c r="A968" s="3" t="inlineStr">
        <is>
          <t>오송읍 봉산리 1423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3</t>
        </is>
      </c>
      <c r="E968" s="3" t="inlineStr">
        <is>
          <t>일반원룸</t>
        </is>
      </c>
      <c r="F968" s="3" t="inlineStr">
        <is>
          <t>월세</t>
        </is>
      </c>
      <c r="G968" s="4" t="n">
        <v>1000</v>
      </c>
      <c r="H968" s="4" t="n">
        <v>60</v>
      </c>
      <c r="I968" s="4" t="n">
        <v>27</v>
      </c>
      <c r="J968" s="4" t="n">
        <v>8</v>
      </c>
      <c r="K968" s="5" t="n">
        <v>7.5</v>
      </c>
      <c r="L968" s="4" t="n">
        <v>27</v>
      </c>
      <c r="M968" s="4" t="n">
        <v>8</v>
      </c>
      <c r="N968" s="5" t="n">
        <v>7.5</v>
      </c>
      <c r="O968" s="3" t="inlineStr">
        <is>
          <t>10월 중순 입주 가능한 이쁜 투베이입니다</t>
        </is>
      </c>
      <c r="P968" s="6">
        <f>HYPERLINK("https://fin.land.naver.com/articles/2652516510", "매물Link")</f>
        <v/>
      </c>
      <c r="Q968" s="6">
        <f>HYPERLINK("https://map.naver.com/p/search/오송읍 봉산리 1423", "지도Link")</f>
        <v/>
      </c>
      <c r="R968" s="6">
        <f>HYPERLINK("http://www.eum.go.kr/web/ar/lu/luLandDet.jsp?pnu=4311325031114230000&amp;isNoScr=script&amp;mode=search", "토지이음")</f>
        <v/>
      </c>
      <c r="S968" s="3" t="inlineStr">
        <is>
          <t>세종오송</t>
        </is>
      </c>
      <c r="T968" s="4" t="n">
        <v>1</v>
      </c>
      <c r="U968" s="5" t="n">
        <v>250.2</v>
      </c>
      <c r="V968" s="4" t="n">
        <v>250.3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1425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일반원룸</t>
        </is>
      </c>
      <c r="F969" s="3" t="inlineStr">
        <is>
          <t>월세</t>
        </is>
      </c>
      <c r="G969" s="4" t="n">
        <v>500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25</v>
      </c>
      <c r="M969" s="4" t="n">
        <v>8</v>
      </c>
      <c r="N969" s="5" t="n">
        <v>6.2</v>
      </c>
      <c r="O969" s="3" t="inlineStr">
        <is>
          <t>오송역도보 5분거리  건조기 까지 있는 분리형 예쁜원룸</t>
        </is>
      </c>
      <c r="P969" s="6">
        <f>HYPERLINK("https://fin.land.naver.com/articles/2654726802", "매물Link")</f>
        <v/>
      </c>
      <c r="Q969" s="6">
        <f>HYPERLINK("https://map.naver.com/p/search/오송읍 봉산리 1425", "지도Link")</f>
        <v/>
      </c>
      <c r="R969" s="6">
        <f>HYPERLINK("http://www.eum.go.kr/web/ar/lu/luLandDet.jsp?pnu=4311325031114250000&amp;isNoScr=script&amp;mode=search", "토지이음")</f>
        <v/>
      </c>
      <c r="S969" s="3" t="inlineStr">
        <is>
          <t>스케치</t>
        </is>
      </c>
      <c r="T969" s="4" t="n">
        <v>1</v>
      </c>
      <c r="U969" s="5" t="n">
        <v>236</v>
      </c>
      <c r="V969" s="4" t="n">
        <v>311.5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1427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단독</t>
        </is>
      </c>
      <c r="F970" s="3" t="inlineStr">
        <is>
          <t>월세</t>
        </is>
      </c>
      <c r="G970" s="4" t="n">
        <v>3000</v>
      </c>
      <c r="H970" s="4" t="n">
        <v>120</v>
      </c>
      <c r="I970" s="4" t="n">
        <v>0</v>
      </c>
      <c r="J970" s="4" t="n">
        <v>0</v>
      </c>
      <c r="K970" s="5" t="n">
        <v>0</v>
      </c>
      <c r="L970" s="4" t="n">
        <v>122</v>
      </c>
      <c r="M970" s="4" t="n">
        <v>37</v>
      </c>
      <c r="N970" s="5" t="n">
        <v>3.2</v>
      </c>
      <c r="O970" s="3" t="inlineStr">
        <is>
          <t>공원 앞 뻥 뷰. 9번출구 도보 3분 이내.</t>
        </is>
      </c>
      <c r="P970" s="6">
        <f>HYPERLINK("https://fin.land.naver.com/articles/2651889740", "매물Link")</f>
        <v/>
      </c>
      <c r="Q970" s="6">
        <f>HYPERLINK("https://map.naver.com/p/search/오송읍 봉산리 1427", "지도Link")</f>
        <v/>
      </c>
      <c r="R970" s="6">
        <f>HYPERLINK("http://www.eum.go.kr/web/ar/lu/luLandDet.jsp?pnu=4311325031114270000&amp;isNoScr=script&amp;mode=search", "토지이음")</f>
        <v/>
      </c>
      <c r="S970" s="3" t="inlineStr">
        <is>
          <t>당근플러스</t>
        </is>
      </c>
      <c r="T970" s="4" t="n">
        <v>1</v>
      </c>
      <c r="U970" s="5" t="n">
        <v>233.7</v>
      </c>
      <c r="V970" s="4" t="n">
        <v>311.4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1437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일반원룸</t>
        </is>
      </c>
      <c r="F971" s="3" t="inlineStr">
        <is>
          <t>월세</t>
        </is>
      </c>
      <c r="G971" s="4" t="n">
        <v>300</v>
      </c>
      <c r="H971" s="4" t="n">
        <v>45</v>
      </c>
      <c r="I971" s="4" t="n">
        <v>0</v>
      </c>
      <c r="J971" s="4" t="n">
        <v>0</v>
      </c>
      <c r="K971" s="5" t="n">
        <v>0</v>
      </c>
      <c r="L971" s="4" t="n">
        <v>26</v>
      </c>
      <c r="M971" s="4" t="n">
        <v>8</v>
      </c>
      <c r="N971" s="5" t="n">
        <v>5.6</v>
      </c>
      <c r="O971" s="3" t="inlineStr">
        <is>
          <t>오송역9번출구 도보5분 풀옵션 원룸 채광 좋고 중문 있어요</t>
        </is>
      </c>
      <c r="P971" s="6">
        <f>HYPERLINK("https://fin.land.naver.com/articles/2655206261", "매물Link")</f>
        <v/>
      </c>
      <c r="Q971" s="6">
        <f>HYPERLINK("https://map.naver.com/p/search/오송읍 봉산리 1437", "지도Link")</f>
        <v/>
      </c>
      <c r="R971" s="6">
        <f>HYPERLINK("http://www.eum.go.kr/web/ar/lu/luLandDet.jsp?pnu=4311325031114370000&amp;isNoScr=script&amp;mode=search", "토지이음")</f>
        <v/>
      </c>
      <c r="S971" s="3" t="inlineStr">
        <is>
          <t>스케치</t>
        </is>
      </c>
      <c r="T971" s="4" t="n">
        <v>1</v>
      </c>
      <c r="U971" s="5" t="n">
        <v>205.8</v>
      </c>
      <c r="V971" s="4" t="n">
        <v>314.3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1440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단독</t>
        </is>
      </c>
      <c r="F972" s="3" t="inlineStr">
        <is>
          <t>월세</t>
        </is>
      </c>
      <c r="G972" s="4" t="n">
        <v>2000</v>
      </c>
      <c r="H972" s="4" t="n">
        <v>120</v>
      </c>
      <c r="I972" s="4" t="n">
        <v>134</v>
      </c>
      <c r="J972" s="4" t="n">
        <v>41</v>
      </c>
      <c r="K972" s="5" t="n">
        <v>2.9</v>
      </c>
      <c r="L972" s="4" t="n">
        <v>134</v>
      </c>
      <c r="M972" s="4" t="n">
        <v>41</v>
      </c>
      <c r="N972" s="5" t="n">
        <v>2.9</v>
      </c>
      <c r="O972" s="3" t="inlineStr">
        <is>
          <t>nan</t>
        </is>
      </c>
      <c r="P972" s="6">
        <f>HYPERLINK("https://fin.land.naver.com/articles/2650858362", "매물Link")</f>
        <v/>
      </c>
      <c r="Q972" s="6">
        <f>HYPERLINK("https://map.naver.com/p/search/오송읍 봉산리 1440", "지도Link")</f>
        <v/>
      </c>
      <c r="R972" s="6">
        <f>HYPERLINK("http://www.eum.go.kr/web/ar/lu/luLandDet.jsp?pnu=4311325031114400000&amp;isNoScr=script&amp;mode=search", "토지이음")</f>
        <v/>
      </c>
      <c r="S972" s="3" t="inlineStr">
        <is>
          <t>오송유진</t>
        </is>
      </c>
      <c r="T972" s="4" t="n">
        <v>1</v>
      </c>
      <c r="U972" s="5" t="n">
        <v>215.7</v>
      </c>
      <c r="V972" s="4" t="n">
        <v>360.7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오송읍 봉산리 1440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다가구</t>
        </is>
      </c>
      <c r="F973" s="3" t="inlineStr">
        <is>
          <t>월세</t>
        </is>
      </c>
      <c r="G973" s="4" t="n">
        <v>2000</v>
      </c>
      <c r="H973" s="4" t="n">
        <v>110</v>
      </c>
      <c r="I973" s="4" t="n">
        <v>134</v>
      </c>
      <c r="J973" s="4" t="n">
        <v>41</v>
      </c>
      <c r="K973" s="5" t="n">
        <v>2.7</v>
      </c>
      <c r="L973" s="4" t="n">
        <v>134</v>
      </c>
      <c r="M973" s="4" t="n">
        <v>41</v>
      </c>
      <c r="N973" s="5" t="n">
        <v>2.7</v>
      </c>
      <c r="O973" s="3" t="inlineStr">
        <is>
          <t>10월1일입주가능,넓은주인세대,오송역최단거리</t>
        </is>
      </c>
      <c r="P973" s="6">
        <f>HYPERLINK("https://fin.land.naver.com/articles/2653787908", "매물Link")</f>
        <v/>
      </c>
      <c r="Q973" s="6">
        <f>HYPERLINK("https://map.naver.com/p/search/오송읍 봉산리 1440", "지도Link")</f>
        <v/>
      </c>
      <c r="R973" s="6">
        <f>HYPERLINK("http://www.eum.go.kr/web/ar/lu/luLandDet.jsp?pnu=4311325031114400000&amp;isNoScr=script&amp;mode=search", "토지이음")</f>
        <v/>
      </c>
      <c r="S973" s="3" t="inlineStr">
        <is>
          <t>오송올래</t>
        </is>
      </c>
      <c r="T973" s="4" t="n">
        <v>1</v>
      </c>
      <c r="U973" s="5" t="n">
        <v>215.7</v>
      </c>
      <c r="V973" s="4" t="n">
        <v>360.7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소로각지</t>
        </is>
      </c>
    </row>
    <row r="974">
      <c r="A974" s="3" t="inlineStr">
        <is>
          <t>오송읍 봉산리 1441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500</v>
      </c>
      <c r="H974" s="4" t="n">
        <v>50</v>
      </c>
      <c r="I974" s="4" t="n">
        <v>0</v>
      </c>
      <c r="J974" s="4" t="n">
        <v>0</v>
      </c>
      <c r="K974" s="5" t="n">
        <v>0</v>
      </c>
      <c r="L974" s="4" t="n">
        <v>23</v>
      </c>
      <c r="M974" s="4" t="n">
        <v>7</v>
      </c>
      <c r="N974" s="5" t="n">
        <v>7.1</v>
      </c>
      <c r="O974" s="3" t="inlineStr">
        <is>
          <t>오송역9번출구 도보3분 신축 넓은원룸  채광굿.주차편리 빠른 입주가능</t>
        </is>
      </c>
      <c r="P974" s="6">
        <f>HYPERLINK("https://fin.land.naver.com/articles/2655465370", "매물Link")</f>
        <v/>
      </c>
      <c r="Q974" s="6">
        <f>HYPERLINK("https://map.naver.com/p/search/오송읍 봉산리 1441", "지도Link")</f>
        <v/>
      </c>
      <c r="R974" s="6">
        <f>HYPERLINK("http://www.eum.go.kr/web/ar/lu/luLandDet.jsp?pnu=4311325031114410000&amp;isNoScr=script&amp;mode=search", "토지이음")</f>
        <v/>
      </c>
      <c r="S974" s="3" t="inlineStr">
        <is>
          <t>스케치</t>
        </is>
      </c>
      <c r="T974" s="4" t="n">
        <v>1</v>
      </c>
      <c r="U974" s="5" t="n">
        <v>205.8</v>
      </c>
      <c r="V974" s="4" t="n">
        <v>308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1443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단독</t>
        </is>
      </c>
      <c r="F975" s="3" t="inlineStr">
        <is>
          <t>월세</t>
        </is>
      </c>
      <c r="G975" s="4" t="n">
        <v>5000</v>
      </c>
      <c r="H975" s="4" t="n">
        <v>51</v>
      </c>
      <c r="I975" s="4" t="n">
        <v>81</v>
      </c>
      <c r="J975" s="4" t="n">
        <v>25</v>
      </c>
      <c r="K975" s="5" t="n">
        <v>2</v>
      </c>
      <c r="L975" s="4" t="n">
        <v>55</v>
      </c>
      <c r="M975" s="4" t="n">
        <v>17</v>
      </c>
      <c r="N975" s="5" t="n">
        <v>3</v>
      </c>
      <c r="O975" s="3" t="inlineStr">
        <is>
          <t>중문있는 반전세 투룸</t>
        </is>
      </c>
      <c r="P975" s="6">
        <f>HYPERLINK("https://fin.land.naver.com/articles/2654379213", "매물Link")</f>
        <v/>
      </c>
      <c r="Q975" s="6">
        <f>HYPERLINK("https://map.naver.com/p/search/오송읍 봉산리 1443", "지도Link")</f>
        <v/>
      </c>
      <c r="R975" s="6">
        <f>HYPERLINK("http://www.eum.go.kr/web/ar/lu/luLandDet.jsp?pnu=4311325031114430000&amp;isNoScr=script&amp;mode=search",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207.9</v>
      </c>
      <c r="V975" s="4" t="n">
        <v>309.2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1443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다가구</t>
        </is>
      </c>
      <c r="F976" s="3" t="inlineStr">
        <is>
          <t>월세</t>
        </is>
      </c>
      <c r="G976" s="4" t="n">
        <v>5000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52</v>
      </c>
      <c r="M976" s="4" t="n">
        <v>16</v>
      </c>
      <c r="N976" s="5" t="n">
        <v>3.1</v>
      </c>
      <c r="O976" s="3" t="inlineStr">
        <is>
          <t>귀한 투룸 반전세. 보증금 및 월세 조율 가능</t>
        </is>
      </c>
      <c r="P976" s="6">
        <f>HYPERLINK("https://fin.land.naver.com/articles/2654856038", "매물Link")</f>
        <v/>
      </c>
      <c r="Q976" s="6">
        <f>HYPERLINK("https://map.naver.com/p/search/오송읍 봉산리 1443", "지도Link")</f>
        <v/>
      </c>
      <c r="R976" s="6">
        <f>HYPERLINK("http://www.eum.go.kr/web/ar/lu/luLandDet.jsp?pnu=4311325031114430000&amp;isNoScr=script&amp;mode=search", "토지이음")</f>
        <v/>
      </c>
      <c r="S976" s="3" t="inlineStr">
        <is>
          <t>당근플러스</t>
        </is>
      </c>
      <c r="T976" s="4" t="n">
        <v>3</v>
      </c>
      <c r="U976" s="5" t="n">
        <v>207.9</v>
      </c>
      <c r="V976" s="4" t="n">
        <v>309.2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1444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165000</v>
      </c>
      <c r="H977" s="4" t="n">
        <v>0</v>
      </c>
      <c r="I977" s="4" t="n">
        <v>308</v>
      </c>
      <c r="J977" s="4" t="n">
        <v>93</v>
      </c>
      <c r="K977" s="5" t="n">
        <v>1774.2</v>
      </c>
      <c r="L977" s="4" t="n">
        <v>487</v>
      </c>
      <c r="M977" s="4" t="n">
        <v>147</v>
      </c>
      <c r="N977" s="5" t="n">
        <v>1122.4</v>
      </c>
      <c r="O977" s="3" t="inlineStr">
        <is>
          <t>nan</t>
        </is>
      </c>
      <c r="P977" s="6">
        <f>HYPERLINK("https://fin.land.naver.com/articles/2655925346", "매물Link")</f>
        <v/>
      </c>
      <c r="Q977" s="6">
        <f>HYPERLINK("https://map.naver.com/p/search/오송읍 봉산리 1444", "지도Link")</f>
        <v/>
      </c>
      <c r="R977" s="6">
        <f>HYPERLINK("http://www.eum.go.kr/web/ar/lu/luLandDet.jsp?pnu=4311325031114440000&amp;isNoScr=script&amp;mode=search",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207.9</v>
      </c>
      <c r="V977" s="4" t="n">
        <v>308.7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1444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165000</v>
      </c>
      <c r="H978" s="4" t="n">
        <v>0</v>
      </c>
      <c r="I978" s="4" t="n">
        <v>308</v>
      </c>
      <c r="J978" s="4" t="n">
        <v>93</v>
      </c>
      <c r="K978" s="5" t="n">
        <v>1774.2</v>
      </c>
      <c r="L978" s="4" t="n">
        <v>487</v>
      </c>
      <c r="M978" s="4" t="n">
        <v>147</v>
      </c>
      <c r="N978" s="5" t="n">
        <v>1122.4</v>
      </c>
      <c r="O978" s="3" t="inlineStr">
        <is>
          <t>nan</t>
        </is>
      </c>
      <c r="P978" s="6">
        <f>HYPERLINK("https://fin.land.naver.com/articles/2656356119", "매물Link")</f>
        <v/>
      </c>
      <c r="Q978" s="6">
        <f>HYPERLINK("https://map.naver.com/p/search/오송읍 봉산리 1444", "지도Link")</f>
        <v/>
      </c>
      <c r="R978" s="6">
        <f>HYPERLINK("http://www.eum.go.kr/web/ar/lu/luLandDet.jsp?pnu=4311325031114440000&amp;isNoScr=script&amp;mode=search", "토지이음")</f>
        <v/>
      </c>
      <c r="S978" s="3" t="inlineStr">
        <is>
          <t>오송1단지창조</t>
        </is>
      </c>
      <c r="T978" s="4" t="n">
        <v>1</v>
      </c>
      <c r="U978" s="5" t="n">
        <v>207.9</v>
      </c>
      <c r="V978" s="4" t="n">
        <v>308.7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1444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165000</v>
      </c>
      <c r="H979" s="4" t="n">
        <v>0</v>
      </c>
      <c r="I979" s="4" t="n">
        <v>308</v>
      </c>
      <c r="J979" s="4" t="n">
        <v>93</v>
      </c>
      <c r="K979" s="5" t="n">
        <v>1774.2</v>
      </c>
      <c r="L979" s="4" t="n">
        <v>487</v>
      </c>
      <c r="M979" s="4" t="n">
        <v>147</v>
      </c>
      <c r="N979" s="5" t="n">
        <v>1122.4</v>
      </c>
      <c r="O979" s="3" t="inlineStr">
        <is>
          <t>오송역인근 임대 선호가 많아 공실없는 건물</t>
        </is>
      </c>
      <c r="P979" s="6">
        <f>HYPERLINK("https://fin.land.naver.com/articles/2652266836", "매물Link")</f>
        <v/>
      </c>
      <c r="Q979" s="6">
        <f>HYPERLINK("https://map.naver.com/p/search/오송읍 봉산리 1444", "지도Link")</f>
        <v/>
      </c>
      <c r="R979" s="6">
        <f>HYPERLINK("http://www.eum.go.kr/web/ar/lu/luLandDet.jsp?pnu=4311325031114440000&amp;isNoScr=script&amp;mode=search",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207.9</v>
      </c>
      <c r="V979" s="4" t="n">
        <v>308.7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1448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150000</v>
      </c>
      <c r="H980" s="4" t="n">
        <v>0</v>
      </c>
      <c r="I980" s="4" t="n">
        <v>263</v>
      </c>
      <c r="J980" s="4" t="n">
        <v>80</v>
      </c>
      <c r="K980" s="5" t="n">
        <v>1875</v>
      </c>
      <c r="L980" s="4" t="n">
        <v>525</v>
      </c>
      <c r="M980" s="4" t="n">
        <v>159</v>
      </c>
      <c r="N980" s="5" t="n">
        <v>943.4</v>
      </c>
      <c r="O980" s="3" t="inlineStr">
        <is>
          <t>4차선 도로변 대지넓은 상가주택, 임대수요 풍부</t>
        </is>
      </c>
      <c r="P980" s="6">
        <f>HYPERLINK("https://fin.land.naver.com/articles/2651431163", "매물Link")</f>
        <v/>
      </c>
      <c r="Q980" s="6">
        <f>HYPERLINK("https://map.naver.com/p/search/오송읍 봉산리 1448", "지도Link")</f>
        <v/>
      </c>
      <c r="R980" s="6">
        <f>HYPERLINK("http://www.eum.go.kr/web/ar/lu/luLandDet.jsp?pnu=4311325031114480000&amp;isNoScr=script&amp;mode=search", "토지이음")</f>
        <v/>
      </c>
      <c r="S980" s="3" t="inlineStr">
        <is>
          <t>광장</t>
        </is>
      </c>
      <c r="T980" s="4" t="n">
        <v>1</v>
      </c>
      <c r="U980" s="5" t="n">
        <v>339.2</v>
      </c>
      <c r="V980" s="4" t="n">
        <v>263.3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1451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170000</v>
      </c>
      <c r="H981" s="4" t="n">
        <v>0</v>
      </c>
      <c r="I981" s="4" t="n">
        <v>263</v>
      </c>
      <c r="J981" s="4" t="n">
        <v>80</v>
      </c>
      <c r="K981" s="5" t="n">
        <v>2125</v>
      </c>
      <c r="L981" s="4" t="n">
        <v>526</v>
      </c>
      <c r="M981" s="4" t="n">
        <v>159</v>
      </c>
      <c r="N981" s="5" t="n">
        <v>1069.2</v>
      </c>
      <c r="O981" s="3" t="inlineStr">
        <is>
          <t>대로변 오송역9번출구 호재 월791만원</t>
        </is>
      </c>
      <c r="P981" s="6">
        <f>HYPERLINK("https://fin.land.naver.com/articles/2655925609", "매물Link")</f>
        <v/>
      </c>
      <c r="Q981" s="6">
        <f>HYPERLINK("https://map.naver.com/p/search/오송읍 봉산리 1451", "지도Link")</f>
        <v/>
      </c>
      <c r="R981" s="6">
        <f>HYPERLINK("http://www.eum.go.kr/web/ar/lu/luLandDet.jsp?pnu=4311325031114510000&amp;isNoScr=script&amp;mode=search", "토지이음")</f>
        <v/>
      </c>
      <c r="S981" s="3" t="inlineStr">
        <is>
          <t>프렌즈</t>
        </is>
      </c>
      <c r="T981" s="4" t="n">
        <v>2</v>
      </c>
      <c r="U981" s="5" t="n">
        <v>335.9</v>
      </c>
      <c r="V981" s="4" t="n">
        <v>263.4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1451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165000</v>
      </c>
      <c r="H982" s="4" t="n">
        <v>0</v>
      </c>
      <c r="I982" s="4" t="n">
        <v>263</v>
      </c>
      <c r="J982" s="4" t="n">
        <v>80</v>
      </c>
      <c r="K982" s="5" t="n">
        <v>2062.5</v>
      </c>
      <c r="L982" s="4" t="n">
        <v>526</v>
      </c>
      <c r="M982" s="4" t="n">
        <v>159</v>
      </c>
      <c r="N982" s="5" t="n">
        <v>1037.7</v>
      </c>
      <c r="O982" s="3" t="inlineStr">
        <is>
          <t>오송역5분. 안정적 수익률. 전호실 임대완료 실거주가능</t>
        </is>
      </c>
      <c r="P982" s="6">
        <f>HYPERLINK("https://fin.land.naver.com/articles/2653988597", "매물Link")</f>
        <v/>
      </c>
      <c r="Q982" s="6">
        <f>HYPERLINK("https://map.naver.com/p/search/오송읍 봉산리 1451", "지도Link")</f>
        <v/>
      </c>
      <c r="R982" s="6">
        <f>HYPERLINK("http://www.eum.go.kr/web/ar/lu/luLandDet.jsp?pnu=4311325031114510000&amp;isNoScr=script&amp;mode=search", "토지이음")</f>
        <v/>
      </c>
      <c r="S982" s="3" t="inlineStr">
        <is>
          <t>프로</t>
        </is>
      </c>
      <c r="T982" s="4" t="n">
        <v>1</v>
      </c>
      <c r="U982" s="5" t="n">
        <v>335.9</v>
      </c>
      <c r="V982" s="4" t="n">
        <v>263.4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1459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0</t>
        </is>
      </c>
      <c r="E983" s="3" t="inlineStr">
        <is>
          <t>단독</t>
        </is>
      </c>
      <c r="F983" s="3" t="inlineStr">
        <is>
          <t>월세</t>
        </is>
      </c>
      <c r="G983" s="4" t="n">
        <v>500</v>
      </c>
      <c r="H983" s="4" t="n">
        <v>56</v>
      </c>
      <c r="I983" s="4" t="n">
        <v>27</v>
      </c>
      <c r="J983" s="4" t="n">
        <v>8</v>
      </c>
      <c r="K983" s="5" t="n">
        <v>7</v>
      </c>
      <c r="L983" s="4" t="n">
        <v>27</v>
      </c>
      <c r="M983" s="4" t="n">
        <v>8</v>
      </c>
      <c r="N983" s="5" t="n">
        <v>7</v>
      </c>
      <c r="O983" s="3" t="inlineStr">
        <is>
          <t>동남형 깔끔하고 깨끗한 투베이</t>
        </is>
      </c>
      <c r="P983" s="6">
        <f>HYPERLINK("https://fin.land.naver.com/articles/2655373898", "매물Link")</f>
        <v/>
      </c>
      <c r="Q983" s="6">
        <f>HYPERLINK("https://map.naver.com/p/search/오송읍 봉산리 1459", "지도Link")</f>
        <v/>
      </c>
      <c r="R983" s="6">
        <f>HYPERLINK("http://www.eum.go.kr/web/ar/lu/luLandDet.jsp?pnu=4311325031114590000&amp;isNoScr=script&amp;mode=search", "토지이음")</f>
        <v/>
      </c>
      <c r="S983" s="3" t="inlineStr">
        <is>
          <t>오송유진</t>
        </is>
      </c>
      <c r="T983" s="4" t="n">
        <v>1</v>
      </c>
      <c r="U983" s="5" t="n">
        <v>281.2</v>
      </c>
      <c r="V983" s="4" t="n">
        <v>294.9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1459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단독</t>
        </is>
      </c>
      <c r="F984" s="3" t="inlineStr">
        <is>
          <t>월세</t>
        </is>
      </c>
      <c r="G984" s="4" t="n">
        <v>500</v>
      </c>
      <c r="H984" s="4" t="n">
        <v>56</v>
      </c>
      <c r="I984" s="4" t="n">
        <v>25</v>
      </c>
      <c r="J984" s="4" t="n">
        <v>8</v>
      </c>
      <c r="K984" s="5" t="n">
        <v>7</v>
      </c>
      <c r="L984" s="4" t="n">
        <v>25</v>
      </c>
      <c r="M984" s="4" t="n">
        <v>8</v>
      </c>
      <c r="N984" s="5" t="n">
        <v>7</v>
      </c>
      <c r="O984" s="3" t="inlineStr">
        <is>
          <t>동남형 깔끔하고 깨끗한 투베이</t>
        </is>
      </c>
      <c r="P984" s="6">
        <f>HYPERLINK("https://fin.land.naver.com/articles/2652304883", "매물Link")</f>
        <v/>
      </c>
      <c r="Q984" s="6">
        <f>HYPERLINK("https://map.naver.com/p/search/오송읍 봉산리 1459", "지도Link")</f>
        <v/>
      </c>
      <c r="R984" s="6">
        <f>HYPERLINK("http://www.eum.go.kr/web/ar/lu/luLandDet.jsp?pnu=4311325031114590000&amp;isNoScr=script&amp;mode=search", "토지이음")</f>
        <v/>
      </c>
      <c r="S984" s="3" t="inlineStr">
        <is>
          <t>오송유진</t>
        </is>
      </c>
      <c r="T984" s="4" t="n">
        <v>1</v>
      </c>
      <c r="U984" s="5" t="n">
        <v>281.2</v>
      </c>
      <c r="V984" s="4" t="n">
        <v>294.9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1465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60</v>
      </c>
      <c r="I985" s="4" t="n">
        <v>0</v>
      </c>
      <c r="J985" s="4" t="n">
        <v>0</v>
      </c>
      <c r="K985" s="5" t="n">
        <v>0</v>
      </c>
      <c r="L985" s="4" t="n">
        <v>32</v>
      </c>
      <c r="M985" s="4" t="n">
        <v>10</v>
      </c>
      <c r="N985" s="5" t="n">
        <v>6</v>
      </c>
      <c r="O985" s="3" t="inlineStr">
        <is>
          <t>10월입주가능 투베이 중문, 시스템에어컨, 채광굿, 오송파출소 사거리</t>
        </is>
      </c>
      <c r="P985" s="6">
        <f>HYPERLINK("https://fin.land.naver.com/articles/2653048187", "매물Link")</f>
        <v/>
      </c>
      <c r="Q985" s="6">
        <f>HYPERLINK("https://map.naver.com/p/search/오송읍 봉산리 1465", "지도Link")</f>
        <v/>
      </c>
      <c r="R985" s="6">
        <f>HYPERLINK("http://www.eum.go.kr/web/ar/lu/luLandDet.jsp?pnu=4311325031114650000&amp;isNoScr=script&amp;mode=search",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339.2</v>
      </c>
      <c r="V985" s="4" t="n">
        <v>286.8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중로각지</t>
        </is>
      </c>
    </row>
    <row r="986">
      <c r="A986" s="3" t="inlineStr">
        <is>
          <t>오송읍 봉산리 1473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160000</v>
      </c>
      <c r="H986" s="4" t="n">
        <v>0</v>
      </c>
      <c r="I986" s="4" t="n">
        <v>285</v>
      </c>
      <c r="J986" s="4" t="n">
        <v>86</v>
      </c>
      <c r="K986" s="5" t="n">
        <v>1860.5</v>
      </c>
      <c r="L986" s="4" t="n">
        <v>519</v>
      </c>
      <c r="M986" s="4" t="n">
        <v>157</v>
      </c>
      <c r="N986" s="5" t="n">
        <v>1019.1</v>
      </c>
      <c r="O986" s="3" t="inlineStr">
        <is>
          <t>추천매물 탁트인 거실뷰가 너무나 예뻐요,주방에서 보이는 뷰가 멋진 건물</t>
        </is>
      </c>
      <c r="P986" s="6">
        <f>HYPERLINK("https://fin.land.naver.com/articles/2655167594", "매물Link")</f>
        <v/>
      </c>
      <c r="Q986" s="6">
        <f>HYPERLINK("https://map.naver.com/p/search/오송읍 봉산리 1473", "지도Link")</f>
        <v/>
      </c>
      <c r="R986" s="6">
        <f>HYPERLINK("http://www.eum.go.kr/web/ar/lu/luLandDet.jsp?pnu=4311325031114730000&amp;isNoScr=script&amp;mode=search",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281.2</v>
      </c>
      <c r="V986" s="4" t="n">
        <v>285.3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1483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300</v>
      </c>
      <c r="H987" s="4" t="n">
        <v>45</v>
      </c>
      <c r="I987" s="4" t="n">
        <v>151</v>
      </c>
      <c r="J987" s="4" t="n">
        <v>46</v>
      </c>
      <c r="K987" s="5" t="n">
        <v>1</v>
      </c>
      <c r="L987" s="4" t="n">
        <v>22</v>
      </c>
      <c r="M987" s="4" t="n">
        <v>7</v>
      </c>
      <c r="N987" s="5" t="n">
        <v>6.4</v>
      </c>
      <c r="O987" s="3" t="inlineStr">
        <is>
          <t>원룸 오송역세권으로 인프라좋고 주변편의시설확충 파출소 공원 대형마트부근</t>
        </is>
      </c>
      <c r="P987" s="6">
        <f>HYPERLINK("https://fin.land.naver.com/articles/2652566094", "매물Link")</f>
        <v/>
      </c>
      <c r="Q987" s="6">
        <f>HYPERLINK("https://map.naver.com/p/search/오송읍 봉산리 1483", "지도Link")</f>
        <v/>
      </c>
      <c r="R987" s="6">
        <f>HYPERLINK("http://www.eum.go.kr/web/ar/lu/luLandDet.jsp?pnu=4311325031114830000&amp;isNoScr=script&amp;mode=search", "토지이음")</f>
        <v/>
      </c>
      <c r="S987" s="3" t="inlineStr">
        <is>
          <t>하림</t>
        </is>
      </c>
      <c r="T987" s="4" t="n">
        <v>1</v>
      </c>
      <c r="U987" s="5" t="n">
        <v>207.9</v>
      </c>
      <c r="V987" s="4" t="n">
        <v>273.5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1483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2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300</v>
      </c>
      <c r="H988" s="4" t="n">
        <v>45</v>
      </c>
      <c r="I988" s="4" t="n">
        <v>0</v>
      </c>
      <c r="J988" s="4" t="n">
        <v>0</v>
      </c>
      <c r="K988" s="5" t="n">
        <v>0</v>
      </c>
      <c r="L988" s="4" t="n">
        <v>22</v>
      </c>
      <c r="M988" s="4" t="n">
        <v>7</v>
      </c>
      <c r="N988" s="5" t="n">
        <v>6.4</v>
      </c>
      <c r="O988" s="3" t="inlineStr">
        <is>
          <t>저렴한 원룸. 10월 말 입주가능</t>
        </is>
      </c>
      <c r="P988" s="6">
        <f>HYPERLINK("https://fin.land.naver.com/articles/2653421065", "매물Link")</f>
        <v/>
      </c>
      <c r="Q988" s="6">
        <f>HYPERLINK("https://map.naver.com/p/search/오송읍 봉산리 1483", "지도Link")</f>
        <v/>
      </c>
      <c r="R988" s="6">
        <f>HYPERLINK("http://www.eum.go.kr/web/ar/lu/luLandDet.jsp?pnu=4311325031114830000&amp;isNoScr=script&amp;mode=search", "토지이음")</f>
        <v/>
      </c>
      <c r="S988" s="3" t="inlineStr">
        <is>
          <t>당근플러스</t>
        </is>
      </c>
      <c r="T988" s="4" t="n">
        <v>1</v>
      </c>
      <c r="U988" s="5" t="n">
        <v>207.9</v>
      </c>
      <c r="V988" s="4" t="n">
        <v>273.5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1489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월세</t>
        </is>
      </c>
      <c r="G989" s="4" t="n">
        <v>1000</v>
      </c>
      <c r="H989" s="4" t="n">
        <v>65</v>
      </c>
      <c r="I989" s="4" t="n">
        <v>50</v>
      </c>
      <c r="J989" s="4" t="n">
        <v>15</v>
      </c>
      <c r="K989" s="5" t="n">
        <v>4.3</v>
      </c>
      <c r="L989" s="4" t="n">
        <v>50</v>
      </c>
      <c r="M989" s="4" t="n">
        <v>15</v>
      </c>
      <c r="N989" s="5" t="n">
        <v>4.3</v>
      </c>
      <c r="O989" s="3" t="inlineStr">
        <is>
          <t>오송 투베이 중 가장 넓고 좋은 투베이입니다.</t>
        </is>
      </c>
      <c r="P989" s="6">
        <f>HYPERLINK("https://fin.land.naver.com/articles/2652514052", "매물Link")</f>
        <v/>
      </c>
      <c r="Q989" s="6">
        <f>HYPERLINK("https://map.naver.com/p/search/오송읍 봉산리 1489", "지도Link")</f>
        <v/>
      </c>
      <c r="R989" s="6">
        <f>HYPERLINK("http://www.eum.go.kr/web/ar/lu/luLandDet.jsp?pnu=4311325031114890000&amp;isNoScr=script&amp;mode=search", "토지이음")</f>
        <v/>
      </c>
      <c r="S989" s="3" t="inlineStr">
        <is>
          <t>세종오송</t>
        </is>
      </c>
      <c r="T989" s="4" t="n">
        <v>1</v>
      </c>
      <c r="U989" s="5" t="n">
        <v>207.9</v>
      </c>
      <c r="V989" s="4" t="n">
        <v>267.8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수익형 투자 매물로 추천드리는 상가주택</t>
        </is>
      </c>
      <c r="P990" s="6">
        <f>HYPERLINK("https://fin.land.naver.com/articles/2655114188",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494</v>
      </c>
      <c r="M991" s="4" t="n">
        <v>149</v>
      </c>
      <c r="N991" s="5" t="n">
        <v>906</v>
      </c>
      <c r="O991" s="3" t="inlineStr">
        <is>
          <t>수익율 좋은 투자하기 좋은 매물,임대형으로 적합한 추천 매물</t>
        </is>
      </c>
      <c r="P991" s="6">
        <f>HYPERLINK("https://fin.land.naver.com/articles/2655168266", "매물Link")</f>
        <v/>
      </c>
      <c r="Q991" s="6">
        <f>HYPERLINK("https://map.naver.com/p/search/오송읍 봉산리 1500", "지도Link")</f>
        <v/>
      </c>
      <c r="R991" s="6">
        <f>HYPERLINK("http://www.eum.go.kr/web/ar/lu/luLandDet.jsp?pnu=4311325031115000000&amp;isNoScr=script&amp;mode=search",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298.5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1500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494</v>
      </c>
      <c r="M992" s="4" t="n">
        <v>149</v>
      </c>
      <c r="N992" s="5" t="n">
        <v>906</v>
      </c>
      <c r="O992" s="3" t="inlineStr">
        <is>
          <t>임대하기 좋은 투베이로 구성된 건물,공실 걱정 없는 건물입니다</t>
        </is>
      </c>
      <c r="P992" s="6">
        <f>HYPERLINK("https://fin.land.naver.com/articles/2654014208", "매물Link")</f>
        <v/>
      </c>
      <c r="Q992" s="6">
        <f>HYPERLINK("https://map.naver.com/p/search/오송읍 봉산리 1500", "지도Link")</f>
        <v/>
      </c>
      <c r="R992" s="6">
        <f>HYPERLINK("http://www.eum.go.kr/web/ar/lu/luLandDet.jsp?pnu=4311325031115000000&amp;isNoScr=script&amp;mode=search",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298.5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nan</t>
        </is>
      </c>
      <c r="P993" s="6">
        <f>HYPERLINK("https://fin.land.naver.com/articles/2655925420",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원룸으로만 구성되어 기숙사로 활용하기 좋은 건물</t>
        </is>
      </c>
      <c r="P994" s="6">
        <f>HYPERLINK("https://fin.land.naver.com/articles/2656438404",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1506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135000</v>
      </c>
      <c r="H995" s="4" t="n">
        <v>0</v>
      </c>
      <c r="I995" s="4" t="n">
        <v>298</v>
      </c>
      <c r="J995" s="4" t="n">
        <v>90</v>
      </c>
      <c r="K995" s="5" t="n">
        <v>1500</v>
      </c>
      <c r="L995" s="4" t="n">
        <v>560</v>
      </c>
      <c r="M995" s="4" t="n">
        <v>169</v>
      </c>
      <c r="N995" s="5" t="n">
        <v>798.8</v>
      </c>
      <c r="O995" s="3" t="inlineStr">
        <is>
          <t>대단위아파트단지앞,오송역근거리,총11가구 수익률 굿</t>
        </is>
      </c>
      <c r="P995" s="6">
        <f>HYPERLINK("https://fin.land.naver.com/articles/2651378467", "매물Link")</f>
        <v/>
      </c>
      <c r="Q995" s="6">
        <f>HYPERLINK("https://map.naver.com/p/search/오송읍 봉산리 1506", "지도Link")</f>
        <v/>
      </c>
      <c r="R995" s="6">
        <f>HYPERLINK("http://www.eum.go.kr/web/ar/lu/luLandDet.jsp?pnu=4311325031115060000&amp;isNoScr=script&amp;mode=search",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207.9</v>
      </c>
      <c r="V995" s="4" t="n">
        <v>298.2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1506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135000</v>
      </c>
      <c r="H996" s="4" t="n">
        <v>0</v>
      </c>
      <c r="I996" s="4" t="n">
        <v>298</v>
      </c>
      <c r="J996" s="4" t="n">
        <v>90</v>
      </c>
      <c r="K996" s="5" t="n">
        <v>1500</v>
      </c>
      <c r="L996" s="4" t="n">
        <v>560</v>
      </c>
      <c r="M996" s="4" t="n">
        <v>169</v>
      </c>
      <c r="N996" s="5" t="n">
        <v>798.8</v>
      </c>
      <c r="O996" s="3" t="inlineStr">
        <is>
          <t>회사 기숙사용으로 활용하기 좋은 원룸으로 구성된 건물,수익율좋음</t>
        </is>
      </c>
      <c r="P996" s="6">
        <f>HYPERLINK("https://fin.land.naver.com/articles/2652110647", "매물Link")</f>
        <v/>
      </c>
      <c r="Q996" s="6">
        <f>HYPERLINK("https://map.naver.com/p/search/오송읍 봉산리 1506", "지도Link")</f>
        <v/>
      </c>
      <c r="R996" s="6">
        <f>HYPERLINK("http://www.eum.go.kr/web/ar/lu/luLandDet.jsp?pnu=4311325031115060000&amp;isNoScr=script&amp;mode=search",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207.9</v>
      </c>
      <c r="V996" s="4" t="n">
        <v>298.2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1506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298</v>
      </c>
      <c r="J997" s="4" t="n">
        <v>90</v>
      </c>
      <c r="K997" s="5" t="n">
        <v>1500</v>
      </c>
      <c r="L997" s="4" t="n">
        <v>560</v>
      </c>
      <c r="M997" s="4" t="n">
        <v>169</v>
      </c>
      <c r="N997" s="5" t="n">
        <v>798.8</v>
      </c>
      <c r="O997" s="3" t="inlineStr">
        <is>
          <t>아파트 인접하여 쾌적. 수익률 좋음. 역세권 다가구</t>
        </is>
      </c>
      <c r="P997" s="6">
        <f>HYPERLINK("https://fin.land.naver.com/articles/2651757758", "매물Link")</f>
        <v/>
      </c>
      <c r="Q997" s="6">
        <f>HYPERLINK("https://map.naver.com/p/search/오송읍 봉산리 1506", "지도Link")</f>
        <v/>
      </c>
      <c r="R997" s="6">
        <f>HYPERLINK("http://www.eum.go.kr/web/ar/lu/luLandDet.jsp?pnu=4311325031115060000&amp;isNoScr=script&amp;mode=search",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207.9</v>
      </c>
      <c r="V997" s="4" t="n">
        <v>298.2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38-5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1</t>
        </is>
      </c>
      <c r="E998" s="3" t="inlineStr">
        <is>
          <t>단독</t>
        </is>
      </c>
      <c r="F998" s="3" t="inlineStr">
        <is>
          <t>월세</t>
        </is>
      </c>
      <c r="G998" s="4" t="n">
        <v>200</v>
      </c>
      <c r="H998" s="4" t="n">
        <v>40</v>
      </c>
      <c r="I998" s="4" t="n">
        <v>33</v>
      </c>
      <c r="J998" s="4" t="n">
        <v>10</v>
      </c>
      <c r="K998" s="5" t="n">
        <v>4</v>
      </c>
      <c r="L998" s="4" t="n">
        <v>30</v>
      </c>
      <c r="M998" s="4" t="n">
        <v>9</v>
      </c>
      <c r="N998" s="5" t="n">
        <v>4.4</v>
      </c>
      <c r="O998" s="3" t="inlineStr">
        <is>
          <t>오송에서 아주저렴한 월세, 3개월도 가능</t>
        </is>
      </c>
      <c r="P998" s="6">
        <f>HYPERLINK("https://fin.land.naver.com/articles/2656471655", "매물Link")</f>
        <v/>
      </c>
      <c r="Q998" s="6">
        <f>HYPERLINK("https://map.naver.com/p/search/오송읍 봉산리 38-5", "지도Link")</f>
        <v/>
      </c>
      <c r="R998" s="6">
        <f>HYPERLINK("http://www.eum.go.kr/web/ar/lu/luLandDet.jsp?pnu=4311325031100380005&amp;isNoScr=script&amp;mode=search", "토지이음")</f>
        <v/>
      </c>
      <c r="S998" s="3" t="inlineStr">
        <is>
          <t>뉴오송현대</t>
        </is>
      </c>
      <c r="T998" s="4" t="n">
        <v>1</v>
      </c>
      <c r="U998" s="5" t="n">
        <v>256.1</v>
      </c>
      <c r="V998" s="4" t="n">
        <v>1080</v>
      </c>
      <c r="W998" s="3" t="inlineStr">
        <is>
          <t>지정되지않음</t>
        </is>
      </c>
      <c r="X998" s="3" t="inlineStr">
        <is>
          <t>상업용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소로한면</t>
        </is>
      </c>
    </row>
    <row r="999">
      <c r="A999" s="3" t="inlineStr">
        <is>
          <t>오송읍 봉산리 598-6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1</t>
        </is>
      </c>
      <c r="E999" s="3" t="inlineStr">
        <is>
          <t>단독</t>
        </is>
      </c>
      <c r="F999" s="3" t="inlineStr">
        <is>
          <t>매매</t>
        </is>
      </c>
      <c r="G999" s="4" t="n">
        <v>35000</v>
      </c>
      <c r="H999" s="4" t="n">
        <v>0</v>
      </c>
      <c r="I999" s="4" t="n">
        <v>304</v>
      </c>
      <c r="J999" s="4" t="n">
        <v>92</v>
      </c>
      <c r="K999" s="5" t="n">
        <v>380.4</v>
      </c>
      <c r="L999" s="4" t="n">
        <v>47</v>
      </c>
      <c r="M999" s="4" t="n">
        <v>14</v>
      </c>
      <c r="N999" s="5" t="n">
        <v>2500</v>
      </c>
      <c r="O999" s="3" t="inlineStr">
        <is>
          <t>오송3산단 인근 봉산리 단독주택으로 1가구안에 건물2개가 독립 되어있음.</t>
        </is>
      </c>
      <c r="P999" s="6">
        <f>HYPERLINK("https://fin.land.naver.com/articles/2655558030", "매물Link")</f>
        <v/>
      </c>
      <c r="Q999" s="6">
        <f>HYPERLINK("https://map.naver.com/p/search/오송읍 봉산리 598-6", "지도Link")</f>
        <v/>
      </c>
      <c r="R999" s="6">
        <f>HYPERLINK("http://www.eum.go.kr/web/ar/lu/luLandDet.jsp?pnu=4311325031105980006&amp;isNoScr=script&amp;mode=search", "토지이음")</f>
        <v/>
      </c>
      <c r="S999" s="3" t="inlineStr">
        <is>
          <t>세종대장</t>
        </is>
      </c>
      <c r="T999" s="4" t="n">
        <v>1</v>
      </c>
      <c r="U999" s="5" t="n">
        <v>158.5</v>
      </c>
      <c r="V999" s="4" t="n">
        <v>304</v>
      </c>
      <c r="W999" s="3" t="inlineStr">
        <is>
          <t>지정되지않음</t>
        </is>
      </c>
      <c r="X999" s="3" t="inlineStr">
        <is>
          <t>단독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세로한면(불)</t>
        </is>
      </c>
    </row>
    <row r="1000">
      <c r="A1000" s="3" t="inlineStr">
        <is>
          <t>오송읍 봉산리 775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상가주택</t>
        </is>
      </c>
      <c r="F1000" s="3" t="inlineStr">
        <is>
          <t>매매</t>
        </is>
      </c>
      <c r="G1000" s="4" t="n">
        <v>135000</v>
      </c>
      <c r="H1000" s="4" t="n">
        <v>0</v>
      </c>
      <c r="I1000" s="4" t="n">
        <v>233</v>
      </c>
      <c r="J1000" s="4" t="n">
        <v>70</v>
      </c>
      <c r="K1000" s="5" t="n">
        <v>1928.6</v>
      </c>
      <c r="L1000" s="4" t="n">
        <v>464</v>
      </c>
      <c r="M1000" s="4" t="n">
        <v>140</v>
      </c>
      <c r="N1000" s="5" t="n">
        <v>964.3</v>
      </c>
      <c r="O1000" s="3" t="inlineStr">
        <is>
          <t>끝내주는 뷰가 나오는 집입니다 뷰 좋은집 찾는 분께 강추</t>
        </is>
      </c>
      <c r="P1000" s="6">
        <f>HYPERLINK("https://fin.land.naver.com/articles/2655925381", "매물Link")</f>
        <v/>
      </c>
      <c r="Q1000" s="6">
        <f>HYPERLINK("https://map.naver.com/p/search/오송읍 봉산리 775", "지도Link")</f>
        <v/>
      </c>
      <c r="R1000" s="6">
        <f>HYPERLINK("http://www.eum.go.kr/web/ar/lu/luLandDet.jsp?pnu=4311325031107750000&amp;isNoScr=script&amp;mode=search", "토지이음")</f>
        <v/>
      </c>
      <c r="S1000" s="3" t="inlineStr">
        <is>
          <t>프렌즈</t>
        </is>
      </c>
      <c r="T1000" s="4" t="n">
        <v>2</v>
      </c>
      <c r="U1000" s="5" t="n">
        <v>204.3</v>
      </c>
      <c r="V1000" s="4" t="n">
        <v>233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소로한면</t>
        </is>
      </c>
    </row>
    <row r="1001">
      <c r="A1001" s="3" t="inlineStr">
        <is>
          <t>오송읍 봉산리 780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단독</t>
        </is>
      </c>
      <c r="F1001" s="3" t="inlineStr">
        <is>
          <t>월세</t>
        </is>
      </c>
      <c r="G1001" s="4" t="n">
        <v>500</v>
      </c>
      <c r="H1001" s="4" t="n">
        <v>56</v>
      </c>
      <c r="I1001" s="4" t="n">
        <v>30</v>
      </c>
      <c r="J1001" s="4" t="n">
        <v>9</v>
      </c>
      <c r="K1001" s="5" t="n">
        <v>6.2</v>
      </c>
      <c r="L1001" s="4" t="n">
        <v>30</v>
      </c>
      <c r="M1001" s="4" t="n">
        <v>9</v>
      </c>
      <c r="N1001" s="5" t="n">
        <v>6.2</v>
      </c>
      <c r="O1001" s="3" t="inlineStr">
        <is>
          <t>조용하고 주차 좋은 투베이</t>
        </is>
      </c>
      <c r="P1001" s="6">
        <f>HYPERLINK("https://fin.land.naver.com/articles/2655373237", "매물Link")</f>
        <v/>
      </c>
      <c r="Q1001" s="6">
        <f>HYPERLINK("https://map.naver.com/p/search/오송읍 봉산리 780", "지도Link")</f>
        <v/>
      </c>
      <c r="R1001" s="6">
        <f>HYPERLINK("http://www.eum.go.kr/web/ar/lu/luLandDet.jsp?pnu=4311325031107800000&amp;isNoScr=script&amp;mode=search", "토지이음")</f>
        <v/>
      </c>
      <c r="S1001" s="3" t="inlineStr">
        <is>
          <t>오송유진</t>
        </is>
      </c>
      <c r="T1001" s="4" t="n">
        <v>1</v>
      </c>
      <c r="U1001" s="5" t="n">
        <v>216.4</v>
      </c>
      <c r="V1001" s="4" t="n">
        <v>322.6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소로각지</t>
        </is>
      </c>
    </row>
    <row r="1002">
      <c r="A1002" s="3" t="inlineStr">
        <is>
          <t>오송읍 봉산리 781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3000</v>
      </c>
      <c r="H1002" s="4" t="n">
        <v>51</v>
      </c>
      <c r="I1002" s="4" t="n">
        <v>62</v>
      </c>
      <c r="J1002" s="4" t="n">
        <v>19</v>
      </c>
      <c r="K1002" s="5" t="n">
        <v>2.7</v>
      </c>
      <c r="L1002" s="4" t="n">
        <v>31</v>
      </c>
      <c r="M1002" s="4" t="n">
        <v>9</v>
      </c>
      <c r="N1002" s="5" t="n">
        <v>5.7</v>
      </c>
      <c r="O1002" s="3" t="inlineStr">
        <is>
          <t>채광좋은 신축 첫 입주 투베이 반전세</t>
        </is>
      </c>
      <c r="P1002" s="6">
        <f>HYPERLINK("https://fin.land.naver.com/articles/2652944206", "매물Link")</f>
        <v/>
      </c>
      <c r="Q1002" s="6">
        <f>HYPERLINK("https://map.naver.com/p/search/오송읍 봉산리 781", "지도Link")</f>
        <v/>
      </c>
      <c r="R1002" s="6">
        <f>HYPERLINK("http://www.eum.go.kr/web/ar/lu/luLandDet.jsp?pnu=4311325031107810000&amp;isNoScr=script&amp;mode=search",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206.3</v>
      </c>
      <c r="V1002" s="4" t="n">
        <v>287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1000</v>
      </c>
      <c r="H1003" s="4" t="n">
        <v>60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6.7</v>
      </c>
      <c r="O1003" s="3" t="inlineStr">
        <is>
          <t>오송2단지 즉시입주 신축 첫입주 투베이 주차편리 에어컨2</t>
        </is>
      </c>
      <c r="P1003" s="6">
        <f>HYPERLINK("https://fin.land.naver.com/articles/2655702444",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782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2</t>
        </is>
      </c>
      <c r="E1004" s="3" t="inlineStr">
        <is>
          <t>일반원룸</t>
        </is>
      </c>
      <c r="F1004" s="3" t="inlineStr">
        <is>
          <t>전세</t>
        </is>
      </c>
      <c r="G1004" s="4" t="n">
        <v>10000</v>
      </c>
      <c r="H1004" s="4" t="n">
        <v>0</v>
      </c>
      <c r="I1004" s="4" t="n">
        <v>82</v>
      </c>
      <c r="J1004" s="4" t="n">
        <v>25</v>
      </c>
      <c r="K1004" s="5" t="n">
        <v>400</v>
      </c>
      <c r="L1004" s="4" t="n">
        <v>27</v>
      </c>
      <c r="M1004" s="4" t="n">
        <v>8</v>
      </c>
      <c r="N1004" s="5" t="n">
        <v>1250</v>
      </c>
      <c r="O1004" s="3" t="inlineStr">
        <is>
          <t>즉시 입주 가능한 채광좋은 전세 투베이</t>
        </is>
      </c>
      <c r="P1004" s="6">
        <f>HYPERLINK("https://fin.land.naver.com/articles/2653303849", "매물Link")</f>
        <v/>
      </c>
      <c r="Q1004" s="6">
        <f>HYPERLINK("https://map.naver.com/p/search/오송읍 봉산리 782", "지도Link")</f>
        <v/>
      </c>
      <c r="R1004" s="6">
        <f>HYPERLINK("http://www.eum.go.kr/web/ar/lu/luLandDet.jsp?pnu=4311325031107820000&amp;isNoScr=script&amp;mode=search",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206.3</v>
      </c>
      <c r="V1004" s="4" t="n">
        <v>287.2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782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전세</t>
        </is>
      </c>
      <c r="G1005" s="4" t="n">
        <v>10000</v>
      </c>
      <c r="H1005" s="4" t="n">
        <v>0</v>
      </c>
      <c r="I1005" s="4" t="n">
        <v>0</v>
      </c>
      <c r="J1005" s="4" t="n">
        <v>0</v>
      </c>
      <c r="K1005" s="5" t="n">
        <v>0</v>
      </c>
      <c r="L1005" s="4" t="n">
        <v>31</v>
      </c>
      <c r="M1005" s="4" t="n">
        <v>9</v>
      </c>
      <c r="N1005" s="5" t="n">
        <v>1111.1</v>
      </c>
      <c r="O1005" s="3" t="inlineStr">
        <is>
          <t>ㄸr봉 26년 신축 화이트톤 깔끔한 풀옵션 투베이 전세</t>
        </is>
      </c>
      <c r="P1005" s="6">
        <f>HYPERLINK("https://fin.land.naver.com/articles/2652848204", "매물Link")</f>
        <v/>
      </c>
      <c r="Q1005" s="6">
        <f>HYPERLINK("https://map.naver.com/p/search/오송읍 봉산리 782", "지도Link")</f>
        <v/>
      </c>
      <c r="R1005" s="6">
        <f>HYPERLINK("http://www.eum.go.kr/web/ar/lu/luLandDet.jsp?pnu=4311325031107820000&amp;isNoScr=script&amp;mode=search",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206.3</v>
      </c>
      <c r="V1005" s="4" t="n">
        <v>287.2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소로한면</t>
        </is>
      </c>
    </row>
    <row r="1006">
      <c r="A1006" s="3" t="inlineStr">
        <is>
          <t>오송읍 봉산리 782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1000</v>
      </c>
      <c r="H1006" s="4" t="n">
        <v>61</v>
      </c>
      <c r="I1006" s="4" t="n">
        <v>0</v>
      </c>
      <c r="J1006" s="4" t="n">
        <v>0</v>
      </c>
      <c r="K1006" s="5" t="n">
        <v>0</v>
      </c>
      <c r="L1006" s="4" t="n">
        <v>27</v>
      </c>
      <c r="M1006" s="4" t="n">
        <v>8</v>
      </c>
      <c r="N1006" s="5" t="n">
        <v>7.6</v>
      </c>
      <c r="O1006" s="3" t="inlineStr">
        <is>
          <t>ㄸr봉 26년 신축 채광이 쏟아지고  화이트톤 깔끔한 풀옵션 투베이</t>
        </is>
      </c>
      <c r="P1006" s="6">
        <f>HYPERLINK("https://fin.land.naver.com/articles/2651645479", "매물Link")</f>
        <v/>
      </c>
      <c r="Q1006" s="6">
        <f>HYPERLINK("https://map.naver.com/p/search/오송읍 봉산리 782", "지도Link")</f>
        <v/>
      </c>
      <c r="R1006" s="6">
        <f>HYPERLINK("http://www.eum.go.kr/web/ar/lu/luLandDet.jsp?pnu=4311325031107820000&amp;isNoScr=script&amp;mode=search", "토지이음")</f>
        <v/>
      </c>
      <c r="S1006" s="3" t="inlineStr">
        <is>
          <t>오송프렌즈</t>
        </is>
      </c>
      <c r="T1006" s="4" t="n">
        <v>2</v>
      </c>
      <c r="U1006" s="5" t="n">
        <v>206.3</v>
      </c>
      <c r="V1006" s="4" t="n">
        <v>287.2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783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단독</t>
        </is>
      </c>
      <c r="F1007" s="3" t="inlineStr">
        <is>
          <t>전세</t>
        </is>
      </c>
      <c r="G1007" s="4" t="n">
        <v>13000</v>
      </c>
      <c r="H1007" s="4" t="n">
        <v>0</v>
      </c>
      <c r="I1007" s="4" t="n">
        <v>52</v>
      </c>
      <c r="J1007" s="4" t="n">
        <v>16</v>
      </c>
      <c r="K1007" s="5" t="n">
        <v>812.5</v>
      </c>
      <c r="L1007" s="4" t="n">
        <v>52</v>
      </c>
      <c r="M1007" s="4" t="n">
        <v>16</v>
      </c>
      <c r="N1007" s="5" t="n">
        <v>812.5</v>
      </c>
      <c r="O1007" s="3" t="inlineStr">
        <is>
          <t>풀옵션 조용한동네 오송국민체육센터 인접</t>
        </is>
      </c>
      <c r="P1007" s="6">
        <f>HYPERLINK("https://fin.land.naver.com/articles/2651129752", "매물Link")</f>
        <v/>
      </c>
      <c r="Q1007" s="6">
        <f>HYPERLINK("https://map.naver.com/p/search/오송읍 봉산리 783", "지도Link")</f>
        <v/>
      </c>
      <c r="R1007" s="6">
        <f>HYPERLINK("http://www.eum.go.kr/web/ar/lu/luLandDet.jsp?pnu=4311325031107830000&amp;isNoScr=script&amp;mode=search", "토지이음")</f>
        <v/>
      </c>
      <c r="S1007" s="3" t="inlineStr">
        <is>
          <t>오송원</t>
        </is>
      </c>
      <c r="T1007" s="4" t="n">
        <v>1</v>
      </c>
      <c r="U1007" s="5" t="n">
        <v>206.3</v>
      </c>
      <c r="V1007" s="4" t="n">
        <v>287.3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791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0</v>
      </c>
      <c r="J1008" s="4" t="n">
        <v>0</v>
      </c>
      <c r="K1008" s="5" t="n">
        <v>0</v>
      </c>
      <c r="L1008" s="4" t="n">
        <v>20</v>
      </c>
      <c r="M1008" s="4" t="n">
        <v>6</v>
      </c>
      <c r="N1008" s="5" t="n">
        <v>7.5</v>
      </c>
      <c r="O1008" s="3" t="inlineStr">
        <is>
          <t>즉시입주 분리형원룸 오송2단지 시세보다 저렴 풀옵션 입니다</t>
        </is>
      </c>
      <c r="P1008" s="6">
        <f>HYPERLINK("https://fin.land.naver.com/articles/2656246106", "매물Link")</f>
        <v/>
      </c>
      <c r="Q1008" s="6">
        <f>HYPERLINK("https://map.naver.com/p/search/오송읍 봉산리 791", "지도Link")</f>
        <v/>
      </c>
      <c r="R1008" s="6">
        <f>HYPERLINK("http://www.eum.go.kr/web/ar/lu/luLandDet.jsp?pnu=4311325031107910000&amp;isNoScr=script&amp;mode=search",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296.3</v>
      </c>
      <c r="V1008" s="4" t="n">
        <v>299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중로각지</t>
        </is>
      </c>
    </row>
    <row r="1009">
      <c r="A1009" s="3" t="inlineStr">
        <is>
          <t>오송읍 봉산리 791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41</v>
      </c>
      <c r="I1009" s="4" t="n">
        <v>46</v>
      </c>
      <c r="J1009" s="4" t="n">
        <v>14</v>
      </c>
      <c r="K1009" s="5" t="n">
        <v>2.9</v>
      </c>
      <c r="L1009" s="4" t="n">
        <v>20</v>
      </c>
      <c r="M1009" s="4" t="n">
        <v>6</v>
      </c>
      <c r="N1009" s="5" t="n">
        <v>6.8</v>
      </c>
      <c r="O1009" s="3" t="inlineStr">
        <is>
          <t>시세 대비 저렴한 원룸,서두르세요</t>
        </is>
      </c>
      <c r="P1009" s="6">
        <f>HYPERLINK("https://fin.land.naver.com/articles/2656221194", "매물Link")</f>
        <v/>
      </c>
      <c r="Q1009" s="6">
        <f>HYPERLINK("https://map.naver.com/p/search/오송읍 봉산리 791", "지도Link")</f>
        <v/>
      </c>
      <c r="R1009" s="6">
        <f>HYPERLINK("http://www.eum.go.kr/web/ar/lu/luLandDet.jsp?pnu=4311325031107910000&amp;isNoScr=script&amp;mode=search",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296.3</v>
      </c>
      <c r="V1009" s="4" t="n">
        <v>299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중로각지</t>
        </is>
      </c>
    </row>
    <row r="1010">
      <c r="A1010" s="3" t="inlineStr">
        <is>
          <t>오송읍 봉산리 791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300</v>
      </c>
      <c r="H1010" s="4" t="n">
        <v>45</v>
      </c>
      <c r="I1010" s="4" t="n">
        <v>0</v>
      </c>
      <c r="J1010" s="4" t="n">
        <v>0</v>
      </c>
      <c r="K1010" s="5" t="n">
        <v>0</v>
      </c>
      <c r="L1010" s="4" t="n">
        <v>20</v>
      </c>
      <c r="M1010" s="4" t="n">
        <v>6</v>
      </c>
      <c r="N1010" s="5" t="n">
        <v>7.5</v>
      </c>
      <c r="O1010" s="3" t="inlineStr">
        <is>
          <t>즉시입주 가능 침대까지 풀옵션 분리형 원룸 정석</t>
        </is>
      </c>
      <c r="P1010" s="6">
        <f>HYPERLINK("https://fin.land.naver.com/articles/2655663669", "매물Link")</f>
        <v/>
      </c>
      <c r="Q1010" s="6">
        <f>HYPERLINK("https://map.naver.com/p/search/오송읍 봉산리 791", "지도Link")</f>
        <v/>
      </c>
      <c r="R1010" s="6">
        <f>HYPERLINK("http://www.eum.go.kr/web/ar/lu/luLandDet.jsp?pnu=4311325031107910000&amp;isNoScr=script&amp;mode=search", "토지이음")</f>
        <v/>
      </c>
      <c r="S1010" s="3" t="inlineStr">
        <is>
          <t>오송바이오창조</t>
        </is>
      </c>
      <c r="T1010" s="4" t="n">
        <v>1</v>
      </c>
      <c r="U1010" s="5" t="n">
        <v>296.3</v>
      </c>
      <c r="V1010" s="4" t="n">
        <v>299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791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20</v>
      </c>
      <c r="J1011" s="4" t="n">
        <v>6</v>
      </c>
      <c r="K1011" s="5" t="n">
        <v>7.5</v>
      </c>
      <c r="L1011" s="4" t="n">
        <v>20</v>
      </c>
      <c r="M1011" s="4" t="n">
        <v>6</v>
      </c>
      <c r="N1011" s="5" t="n">
        <v>7.5</v>
      </c>
      <c r="O1011" s="3" t="inlineStr">
        <is>
          <t>분리형 원룸. 즉시입주가능. 조용한 주택가 내.</t>
        </is>
      </c>
      <c r="P1011" s="6">
        <f>HYPERLINK("https://fin.land.naver.com/articles/2655604615", "매물Link")</f>
        <v/>
      </c>
      <c r="Q1011" s="6">
        <f>HYPERLINK("https://map.naver.com/p/search/오송읍 봉산리 791", "지도Link")</f>
        <v/>
      </c>
      <c r="R1011" s="6">
        <f>HYPERLINK("http://www.eum.go.kr/web/ar/lu/luLandDet.jsp?pnu=4311325031107910000&amp;isNoScr=script&amp;mode=search", "토지이음")</f>
        <v/>
      </c>
      <c r="S1011" s="3" t="inlineStr">
        <is>
          <t>당근플러스</t>
        </is>
      </c>
      <c r="T1011" s="4" t="n">
        <v>1</v>
      </c>
      <c r="U1011" s="5" t="n">
        <v>296.3</v>
      </c>
      <c r="V1011" s="4" t="n">
        <v>299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811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150</v>
      </c>
      <c r="J1012" s="4" t="n">
        <v>45</v>
      </c>
      <c r="K1012" s="5" t="n">
        <v>1</v>
      </c>
      <c r="L1012" s="4" t="n">
        <v>17</v>
      </c>
      <c r="M1012" s="4" t="n">
        <v>5</v>
      </c>
      <c r="N1012" s="5" t="n">
        <v>9</v>
      </c>
      <c r="O1012" s="3" t="inlineStr">
        <is>
          <t>원룸  오송역세권으로 인프라좋고 주변편의시설확충 넓은대형주차장 교통편리</t>
        </is>
      </c>
      <c r="P1012" s="6">
        <f>HYPERLINK("https://fin.land.naver.com/articles/2655705640", "매물Link")</f>
        <v/>
      </c>
      <c r="Q1012" s="6">
        <f>HYPERLINK("https://map.naver.com/p/search/오송읍 봉산리 811", "지도Link")</f>
        <v/>
      </c>
      <c r="R1012" s="6">
        <f>HYPERLINK("http://www.eum.go.kr/web/ar/lu/luLandDet.jsp?pnu=4311325031108110000&amp;isNoScr=script&amp;mode=search", "토지이음")</f>
        <v/>
      </c>
      <c r="S1012" s="3" t="inlineStr">
        <is>
          <t>하림</t>
        </is>
      </c>
      <c r="T1012" s="4" t="n">
        <v>1</v>
      </c>
      <c r="U1012" s="5" t="n">
        <v>220.6</v>
      </c>
      <c r="V1012" s="4" t="n">
        <v>297.2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150000</v>
      </c>
      <c r="H1013" s="4" t="n">
        <v>0</v>
      </c>
      <c r="I1013" s="4" t="n">
        <v>291</v>
      </c>
      <c r="J1013" s="4" t="n">
        <v>88</v>
      </c>
      <c r="K1013" s="5" t="n">
        <v>1704.5</v>
      </c>
      <c r="L1013" s="4" t="n">
        <v>540</v>
      </c>
      <c r="M1013" s="4" t="n">
        <v>163</v>
      </c>
      <c r="N1013" s="5" t="n">
        <v>920.2</v>
      </c>
      <c r="O1013" s="3" t="inlineStr">
        <is>
          <t>공원뷰 코너 입지  2400세대 아파트단지 옆</t>
        </is>
      </c>
      <c r="P1013" s="6">
        <f>HYPERLINK("https://fin.land.naver.com/articles/2655925574",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프렌즈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56</v>
      </c>
      <c r="I1014" s="4" t="n">
        <v>85</v>
      </c>
      <c r="J1014" s="4" t="n">
        <v>26</v>
      </c>
      <c r="K1014" s="5" t="n">
        <v>2.2</v>
      </c>
      <c r="L1014" s="4" t="n">
        <v>28</v>
      </c>
      <c r="M1014" s="4" t="n">
        <v>8</v>
      </c>
      <c r="N1014" s="5" t="n">
        <v>7</v>
      </c>
      <c r="O1014" s="3" t="inlineStr">
        <is>
          <t>깔끔한 투베이,시세대비저렴,솔미초근처위치</t>
        </is>
      </c>
      <c r="P1014" s="6">
        <f>HYPERLINK("https://fin.land.naver.com/articles/2655392540",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공원앞 실투4억대</t>
        </is>
      </c>
      <c r="P1015" s="6">
        <f>HYPERLINK("https://fin.land.naver.com/articles/2654757229",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e복덕방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812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145000</v>
      </c>
      <c r="H1016" s="4" t="n">
        <v>0</v>
      </c>
      <c r="I1016" s="4" t="n">
        <v>291</v>
      </c>
      <c r="J1016" s="4" t="n">
        <v>88</v>
      </c>
      <c r="K1016" s="5" t="n">
        <v>1647.7</v>
      </c>
      <c r="L1016" s="4" t="n">
        <v>540</v>
      </c>
      <c r="M1016" s="4" t="n">
        <v>163</v>
      </c>
      <c r="N1016" s="5" t="n">
        <v>889.6</v>
      </c>
      <c r="O1016" s="3" t="inlineStr">
        <is>
          <t>초등학교,공립유치원이 내집앞에 위치해 있어요</t>
        </is>
      </c>
      <c r="P1016" s="6">
        <f>HYPERLINK("https://fin.land.naver.com/articles/2656439674", "매물Link")</f>
        <v/>
      </c>
      <c r="Q1016" s="6">
        <f>HYPERLINK("https://map.naver.com/p/search/오송읍 봉산리 812", "지도Link")</f>
        <v/>
      </c>
      <c r="R1016" s="6">
        <f>HYPERLINK("http://www.eum.go.kr/web/ar/lu/luLandDet.jsp?pnu=4311325031108120000&amp;isNoScr=script&amp;mode=search",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233.7</v>
      </c>
      <c r="V1016" s="4" t="n">
        <v>291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812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145000</v>
      </c>
      <c r="H1017" s="4" t="n">
        <v>0</v>
      </c>
      <c r="I1017" s="4" t="n">
        <v>291</v>
      </c>
      <c r="J1017" s="4" t="n">
        <v>88</v>
      </c>
      <c r="K1017" s="5" t="n">
        <v>1647.7</v>
      </c>
      <c r="L1017" s="4" t="n">
        <v>540</v>
      </c>
      <c r="M1017" s="4" t="n">
        <v>163</v>
      </c>
      <c r="N1017" s="5" t="n">
        <v>889.6</v>
      </c>
      <c r="O1017" s="3" t="inlineStr">
        <is>
          <t>코너 상가주택</t>
        </is>
      </c>
      <c r="P1017" s="6">
        <f>HYPERLINK("https://fin.land.naver.com/articles/2652000728", "매물Link")</f>
        <v/>
      </c>
      <c r="Q1017" s="6">
        <f>HYPERLINK("https://map.naver.com/p/search/오송읍 봉산리 812", "지도Link")</f>
        <v/>
      </c>
      <c r="R1017" s="6">
        <f>HYPERLINK("http://www.eum.go.kr/web/ar/lu/luLandDet.jsp?pnu=4311325031108120000&amp;isNoScr=script&amp;mode=search",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233.7</v>
      </c>
      <c r="V1017" s="4" t="n">
        <v>291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812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291</v>
      </c>
      <c r="J1018" s="4" t="n">
        <v>88</v>
      </c>
      <c r="K1018" s="5" t="n">
        <v>1704.5</v>
      </c>
      <c r="L1018" s="4" t="n">
        <v>540</v>
      </c>
      <c r="M1018" s="4" t="n">
        <v>163</v>
      </c>
      <c r="N1018" s="5" t="n">
        <v>920.2</v>
      </c>
      <c r="O1018" s="3" t="inlineStr">
        <is>
          <t>월수익600만원가능,공원뷰코너건물,실투자금5억미만</t>
        </is>
      </c>
      <c r="P1018" s="6">
        <f>HYPERLINK("https://fin.land.naver.com/articles/2654025853", "매물Link")</f>
        <v/>
      </c>
      <c r="Q1018" s="6">
        <f>HYPERLINK("https://map.naver.com/p/search/오송읍 봉산리 812", "지도Link")</f>
        <v/>
      </c>
      <c r="R1018" s="6">
        <f>HYPERLINK("http://www.eum.go.kr/web/ar/lu/luLandDet.jsp?pnu=4311325031108120000&amp;isNoScr=script&amp;mode=search", "토지이음")</f>
        <v/>
      </c>
      <c r="S1018" s="3" t="inlineStr">
        <is>
          <t>오송올래</t>
        </is>
      </c>
      <c r="T1018" s="4" t="n">
        <v>1</v>
      </c>
      <c r="U1018" s="5" t="n">
        <v>233.7</v>
      </c>
      <c r="V1018" s="4" t="n">
        <v>291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812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0</t>
        </is>
      </c>
      <c r="E1019" s="3" t="inlineStr">
        <is>
          <t>다가구</t>
        </is>
      </c>
      <c r="F1019" s="3" t="inlineStr">
        <is>
          <t>월세</t>
        </is>
      </c>
      <c r="G1019" s="4" t="n">
        <v>500</v>
      </c>
      <c r="H1019" s="4" t="n">
        <v>58</v>
      </c>
      <c r="I1019" s="4" t="n">
        <v>28</v>
      </c>
      <c r="J1019" s="4" t="n">
        <v>8</v>
      </c>
      <c r="K1019" s="5" t="n">
        <v>7.2</v>
      </c>
      <c r="L1019" s="4" t="n">
        <v>28</v>
      </c>
      <c r="M1019" s="4" t="n">
        <v>8</v>
      </c>
      <c r="N1019" s="5" t="n">
        <v>7.2</v>
      </c>
      <c r="O1019" s="3" t="inlineStr">
        <is>
          <t>OSoNg.채광좋은 예쁜투베이.</t>
        </is>
      </c>
      <c r="P1019" s="6">
        <f>HYPERLINK("https://fin.land.naver.com/articles/2654571970", "매물Link")</f>
        <v/>
      </c>
      <c r="Q1019" s="6">
        <f>HYPERLINK("https://map.naver.com/p/search/오송읍 봉산리 812", "지도Link")</f>
        <v/>
      </c>
      <c r="R1019" s="6">
        <f>HYPERLINK("http://www.eum.go.kr/web/ar/lu/luLandDet.jsp?pnu=4311325031108120000&amp;isNoScr=script&amp;mode=search", "토지이음")</f>
        <v/>
      </c>
      <c r="S1019" s="3" t="inlineStr">
        <is>
          <t>이룸</t>
        </is>
      </c>
      <c r="T1019" s="4" t="n">
        <v>2</v>
      </c>
      <c r="U1019" s="5" t="n">
        <v>233.7</v>
      </c>
      <c r="V1019" s="4" t="n">
        <v>291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817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51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7.3</v>
      </c>
      <c r="O1020" s="3" t="inlineStr">
        <is>
          <t>넓고 밝은 신축 첫입주 원룸 ,서두르면 좋은 호실 선택 가능</t>
        </is>
      </c>
      <c r="P1020" s="6">
        <f>HYPERLINK("https://fin.land.naver.com/articles/2651307865", "매물Link")</f>
        <v/>
      </c>
      <c r="Q1020" s="6">
        <f>HYPERLINK("https://map.naver.com/p/search/오송읍 봉산리 817", "지도Link")</f>
        <v/>
      </c>
      <c r="R1020" s="6">
        <f>HYPERLINK("http://www.eum.go.kr/web/ar/lu/luLandDet.jsp?pnu=4311325031108170000&amp;isNoScr=script&amp;mode=search",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231.5</v>
      </c>
      <c r="V1020" s="4" t="n">
        <v>290.8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23</v>
      </c>
      <c r="M1021" s="4" t="n">
        <v>7</v>
      </c>
      <c r="N1021" s="5" t="n">
        <v>6.4</v>
      </c>
      <c r="O1021" s="3" t="inlineStr">
        <is>
          <t>10월빠른입주 가능 중문, 투베이 느낌의 완벽 분리형 원룸</t>
        </is>
      </c>
      <c r="P1021" s="6">
        <f>HYPERLINK("https://fin.land.naver.com/articles/2654514473", "매물Link")</f>
        <v/>
      </c>
      <c r="Q1021" s="6">
        <f>HYPERLINK("https://map.naver.com/p/search/오송읍 봉산리 820", "지도Link")</f>
        <v/>
      </c>
      <c r="R1021" s="6">
        <f>HYPERLINK("http://www.eum.go.kr/web/ar/lu/luLandDet.jsp?pnu=4311325031108200000&amp;isNoScr=script&amp;mode=search",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231.5</v>
      </c>
      <c r="V1021" s="4" t="n">
        <v>291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835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월세</t>
        </is>
      </c>
      <c r="G1024" s="4" t="n">
        <v>1000</v>
      </c>
      <c r="H1024" s="4" t="n">
        <v>95</v>
      </c>
      <c r="I1024" s="4" t="n">
        <v>0</v>
      </c>
      <c r="J1024" s="4" t="n">
        <v>0</v>
      </c>
      <c r="K1024" s="5" t="n">
        <v>0</v>
      </c>
      <c r="L1024" s="4" t="n">
        <v>54</v>
      </c>
      <c r="M1024" s="4" t="n">
        <v>16</v>
      </c>
      <c r="N1024" s="5" t="n">
        <v>5.9</v>
      </c>
      <c r="O1024" s="3" t="inlineStr">
        <is>
          <t>채광좋은 남향의 쓰리룸, 즉시입주가능</t>
        </is>
      </c>
      <c r="P1024" s="6">
        <f>HYPERLINK("https://fin.land.naver.com/articles/2651157258", "매물Link")</f>
        <v/>
      </c>
      <c r="Q1024" s="6">
        <f>HYPERLINK("https://map.naver.com/p/search/오송읍 봉산리 835", "지도Link")</f>
        <v/>
      </c>
      <c r="R1024" s="6">
        <f>HYPERLINK("http://www.eum.go.kr/web/ar/lu/luLandDet.jsp?pnu=4311325031108350000&amp;isNoScr=script&amp;mode=search", "토지이음")</f>
        <v/>
      </c>
      <c r="S1024" s="3" t="inlineStr">
        <is>
          <t>태원</t>
        </is>
      </c>
      <c r="T1024" s="4" t="n">
        <v>1</v>
      </c>
      <c r="U1024" s="5" t="n">
        <v>288.1</v>
      </c>
      <c r="V1024" s="4" t="n">
        <v>294.8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중로각지</t>
        </is>
      </c>
    </row>
    <row r="1025">
      <c r="A1025" s="3" t="inlineStr">
        <is>
          <t>오송읍 봉산리 835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100</v>
      </c>
      <c r="I1025" s="4" t="n">
        <v>79</v>
      </c>
      <c r="J1025" s="4" t="n">
        <v>24</v>
      </c>
      <c r="K1025" s="5" t="n">
        <v>4.2</v>
      </c>
      <c r="L1025" s="4" t="n">
        <v>54</v>
      </c>
      <c r="M1025" s="4" t="n">
        <v>16</v>
      </c>
      <c r="N1025" s="5" t="n">
        <v>6.2</v>
      </c>
      <c r="O1025" s="3" t="inlineStr">
        <is>
          <t>깨끗한고 예쁜 쓰리룸,큰길가위치</t>
        </is>
      </c>
      <c r="P1025" s="6">
        <f>HYPERLINK("https://fin.land.naver.com/articles/2651097157", "매물Link")</f>
        <v/>
      </c>
      <c r="Q1025" s="6">
        <f>HYPERLINK("https://map.naver.com/p/search/오송읍 봉산리 835", "지도Link")</f>
        <v/>
      </c>
      <c r="R1025" s="6">
        <f>HYPERLINK("http://www.eum.go.kr/web/ar/lu/luLandDet.jsp?pnu=4311325031108350000&amp;isNoScr=script&amp;mode=search",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288.1</v>
      </c>
      <c r="V1025" s="4" t="n">
        <v>294.8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주변이 조용해서 거주하는 입주민들의 만족도가 좋은 건물</t>
        </is>
      </c>
      <c r="P1026" s="6">
        <f>HYPERLINK("https://fin.land.naver.com/articles/2654603695",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초등학교 앞 도로변 태양광설치 거주하기 좋은 입지</t>
        </is>
      </c>
      <c r="P1027" s="6">
        <f>HYPERLINK("https://fin.land.naver.com/articles/2655925559",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839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단독</t>
        </is>
      </c>
      <c r="F1028" s="3" t="inlineStr">
        <is>
          <t>매매</t>
        </is>
      </c>
      <c r="G1028" s="4" t="n">
        <v>150000</v>
      </c>
      <c r="H1028" s="4" t="n">
        <v>0</v>
      </c>
      <c r="I1028" s="4" t="n">
        <v>249</v>
      </c>
      <c r="J1028" s="4" t="n">
        <v>75</v>
      </c>
      <c r="K1028" s="5" t="n">
        <v>2000</v>
      </c>
      <c r="L1028" s="4" t="n">
        <v>494</v>
      </c>
      <c r="M1028" s="4" t="n">
        <v>149</v>
      </c>
      <c r="N1028" s="5" t="n">
        <v>1006.7</v>
      </c>
      <c r="O1028" s="3" t="inlineStr">
        <is>
          <t>솔미초 건너 적정 가격 태양광 설치 주인 세대 전기료 0원 가까이</t>
        </is>
      </c>
      <c r="P1028" s="6">
        <f>HYPERLINK("https://fin.land.naver.com/articles/2651994435", "매물Link")</f>
        <v/>
      </c>
      <c r="Q1028" s="6">
        <f>HYPERLINK("https://map.naver.com/p/search/오송읍 봉산리 839", "지도Link")</f>
        <v/>
      </c>
      <c r="R1028" s="6">
        <f>HYPERLINK("http://www.eum.go.kr/web/ar/lu/luLandDet.jsp?pnu=4311325031108390000&amp;isNoScr=script&amp;mode=search", "토지이음")</f>
        <v/>
      </c>
      <c r="S1028" s="3" t="inlineStr">
        <is>
          <t>오송퍼스트영웅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839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150000</v>
      </c>
      <c r="H1029" s="4" t="n">
        <v>0</v>
      </c>
      <c r="I1029" s="4" t="n">
        <v>249</v>
      </c>
      <c r="J1029" s="4" t="n">
        <v>75</v>
      </c>
      <c r="K1029" s="5" t="n">
        <v>2000</v>
      </c>
      <c r="L1029" s="4" t="n">
        <v>494</v>
      </c>
      <c r="M1029" s="4" t="n">
        <v>149</v>
      </c>
      <c r="N1029" s="5" t="n">
        <v>1006.7</v>
      </c>
      <c r="O1029" s="3" t="inlineStr">
        <is>
          <t>초,유,고등학교 인근, 높은 층고 넓고 쾌적한 주인세대, 옥탑,태양광있음</t>
        </is>
      </c>
      <c r="P1029" s="6">
        <f>HYPERLINK("https://fin.land.naver.com/articles/2651757753", "매물Link")</f>
        <v/>
      </c>
      <c r="Q1029" s="6">
        <f>HYPERLINK("https://map.naver.com/p/search/오송읍 봉산리 839", "지도Link")</f>
        <v/>
      </c>
      <c r="R1029" s="6">
        <f>HYPERLINK("http://www.eum.go.kr/web/ar/lu/luLandDet.jsp?pnu=4311325031108390000&amp;isNoScr=script&amp;mode=search", "토지이음")</f>
        <v/>
      </c>
      <c r="S1029" s="3" t="inlineStr">
        <is>
          <t>프로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55</v>
      </c>
      <c r="I1030" s="4" t="n">
        <v>0</v>
      </c>
      <c r="J1030" s="4" t="n">
        <v>0</v>
      </c>
      <c r="K1030" s="5" t="n">
        <v>0</v>
      </c>
      <c r="L1030" s="4" t="n">
        <v>30</v>
      </c>
      <c r="M1030" s="4" t="n">
        <v>9</v>
      </c>
      <c r="N1030" s="5" t="n">
        <v>6.1</v>
      </c>
      <c r="O1030" s="3" t="inlineStr">
        <is>
          <t>큰길가 투베이 뻥뷰 예쁜 투베이 빠른입주 가능</t>
        </is>
      </c>
      <c r="P1030" s="6">
        <f>HYPERLINK("https://fin.land.naver.com/articles/2653892183",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스케치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844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2000</v>
      </c>
      <c r="H1032" s="4" t="n">
        <v>56</v>
      </c>
      <c r="I1032" s="4" t="n">
        <v>83</v>
      </c>
      <c r="J1032" s="4" t="n">
        <v>25</v>
      </c>
      <c r="K1032" s="5" t="n">
        <v>2.2</v>
      </c>
      <c r="L1032" s="4" t="n">
        <v>30</v>
      </c>
      <c r="M1032" s="4" t="n">
        <v>9</v>
      </c>
      <c r="N1032" s="5" t="n">
        <v>6.2</v>
      </c>
      <c r="O1032" s="3" t="inlineStr">
        <is>
          <t>10월입주, 큰길가위치,예쁜 투베이</t>
        </is>
      </c>
      <c r="P1032" s="6">
        <f>HYPERLINK("https://fin.land.naver.com/articles/2652955071", "매물Link")</f>
        <v/>
      </c>
      <c r="Q1032" s="6">
        <f>HYPERLINK("https://map.naver.com/p/search/오송읍 봉산리 844", "지도Link")</f>
        <v/>
      </c>
      <c r="R1032" s="6">
        <f>HYPERLINK("http://www.eum.go.kr/web/ar/lu/luLandDet.jsp?pnu=4311325031108440000&amp;isNoScr=script&amp;mode=search",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342.8</v>
      </c>
      <c r="V1032" s="4" t="n">
        <v>249.3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다가구</t>
        </is>
      </c>
      <c r="F1033" s="3" t="inlineStr">
        <is>
          <t>월세</t>
        </is>
      </c>
      <c r="G1033" s="4" t="n">
        <v>2000</v>
      </c>
      <c r="H1033" s="4" t="n">
        <v>56</v>
      </c>
      <c r="I1033" s="4" t="n">
        <v>0</v>
      </c>
      <c r="J1033" s="4" t="n">
        <v>0</v>
      </c>
      <c r="K1033" s="5" t="n">
        <v>0</v>
      </c>
      <c r="L1033" s="4" t="n">
        <v>30</v>
      </c>
      <c r="M1033" s="4" t="n">
        <v>9</v>
      </c>
      <c r="N1033" s="5" t="n">
        <v>6.2</v>
      </c>
      <c r="O1033" s="3" t="inlineStr">
        <is>
          <t>ㄸr봉 막힘업는 뷰에 깔끔하게 관리 잘된 풀옵션 투베이 채광좋음</t>
        </is>
      </c>
      <c r="P1033" s="6">
        <f>HYPERLINK("https://fin.land.naver.com/articles/2652841561", "매물Link")</f>
        <v/>
      </c>
      <c r="Q1033" s="6">
        <f>HYPERLINK("https://map.naver.com/p/search/오송읍 봉산리 844", "지도Link")</f>
        <v/>
      </c>
      <c r="R1033" s="6">
        <f>HYPERLINK("http://www.eum.go.kr/web/ar/lu/luLandDet.jsp?pnu=4311325031108440000&amp;isNoScr=script&amp;mode=search", "토지이음")</f>
        <v/>
      </c>
      <c r="S1033" s="3" t="inlineStr">
        <is>
          <t>오송프렌즈</t>
        </is>
      </c>
      <c r="T1033" s="4" t="n">
        <v>1</v>
      </c>
      <c r="U1033" s="5" t="n">
        <v>342.8</v>
      </c>
      <c r="V1033" s="4" t="n">
        <v>249.3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전세</t>
        </is>
      </c>
      <c r="G1035" s="4" t="n">
        <v>15000</v>
      </c>
      <c r="H1035" s="4" t="n">
        <v>0</v>
      </c>
      <c r="I1035" s="4" t="n">
        <v>0</v>
      </c>
      <c r="J1035" s="4" t="n">
        <v>0</v>
      </c>
      <c r="K1035" s="5" t="n">
        <v>0</v>
      </c>
      <c r="L1035" s="4" t="n">
        <v>59</v>
      </c>
      <c r="M1035" s="4" t="n">
        <v>18</v>
      </c>
      <c r="N1035" s="5" t="n">
        <v>833.3</v>
      </c>
      <c r="O1035" s="3" t="inlineStr">
        <is>
          <t>각방 에어컨,쓰리룸 전세 , 시작하는 신혼부부 강력추천 매물, 풀옵션</t>
        </is>
      </c>
      <c r="P1035" s="6">
        <f>HYPERLINK("https://fin.land.naver.com/articles/2656100248", "매물Link")</f>
        <v/>
      </c>
      <c r="Q1035" s="6">
        <f>HYPERLINK("https://map.naver.com/p/search/오송읍 봉산리 846", "지도Link")</f>
        <v/>
      </c>
      <c r="R1035" s="6">
        <f>HYPERLINK("http://www.eum.go.kr/web/ar/lu/luLandDet.jsp?pnu=4311325031108460000&amp;isNoScr=script&amp;mode=search",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342.8</v>
      </c>
      <c r="V1035" s="4" t="n">
        <v>248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정방형</t>
        </is>
      </c>
      <c r="AA1035" s="3" t="inlineStr">
        <is>
          <t>중로각지</t>
        </is>
      </c>
    </row>
    <row r="1036">
      <c r="A1036" s="3" t="inlineStr">
        <is>
          <t>오송읍 봉산리 846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3</t>
        </is>
      </c>
      <c r="E1036" s="3" t="inlineStr">
        <is>
          <t>단독</t>
        </is>
      </c>
      <c r="F1036" s="3" t="inlineStr">
        <is>
          <t>전세</t>
        </is>
      </c>
      <c r="G1036" s="4" t="n">
        <v>15000</v>
      </c>
      <c r="H1036" s="4" t="n">
        <v>0</v>
      </c>
      <c r="I1036" s="4" t="n">
        <v>125</v>
      </c>
      <c r="J1036" s="4" t="n">
        <v>38</v>
      </c>
      <c r="K1036" s="5" t="n">
        <v>394.7</v>
      </c>
      <c r="L1036" s="4" t="n">
        <v>59</v>
      </c>
      <c r="M1036" s="4" t="n">
        <v>18</v>
      </c>
      <c r="N1036" s="5" t="n">
        <v>833.3</v>
      </c>
      <c r="O1036" s="3" t="inlineStr">
        <is>
          <t>쓰리룸 오송역세권으로 인프라좋고 주변편의시설확충 초등학교공원 순환도로</t>
        </is>
      </c>
      <c r="P1036" s="6">
        <f>HYPERLINK("https://fin.land.naver.com/articles/2655841931", "매물Link")</f>
        <v/>
      </c>
      <c r="Q1036" s="6">
        <f>HYPERLINK("https://map.naver.com/p/search/오송읍 봉산리 846", "지도Link")</f>
        <v/>
      </c>
      <c r="R1036" s="6">
        <f>HYPERLINK("http://www.eum.go.kr/web/ar/lu/luLandDet.jsp?pnu=4311325031108460000&amp;isNoScr=script&amp;mode=search", "토지이음")</f>
        <v/>
      </c>
      <c r="S1036" s="3" t="inlineStr">
        <is>
          <t>하림</t>
        </is>
      </c>
      <c r="T1036" s="4" t="n">
        <v>2</v>
      </c>
      <c r="U1036" s="5" t="n">
        <v>342.8</v>
      </c>
      <c r="V1036" s="4" t="n">
        <v>248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중로각지</t>
        </is>
      </c>
    </row>
    <row r="1037">
      <c r="A1037" s="3" t="inlineStr">
        <is>
          <t>오송읍 봉산리 847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55</v>
      </c>
      <c r="I1037" s="4" t="n">
        <v>29</v>
      </c>
      <c r="J1037" s="4" t="n">
        <v>9</v>
      </c>
      <c r="K1037" s="5" t="n">
        <v>6.1</v>
      </c>
      <c r="L1037" s="4" t="n">
        <v>29</v>
      </c>
      <c r="M1037" s="4" t="n">
        <v>9</v>
      </c>
      <c r="N1037" s="5" t="n">
        <v>6.1</v>
      </c>
      <c r="O1037" s="3" t="inlineStr">
        <is>
          <t>오송2단지 투베이 풀옵션 채광,주차편리 10월 입주가능</t>
        </is>
      </c>
      <c r="P1037" s="6">
        <f>HYPERLINK("https://fin.land.naver.com/articles/2652890007", "매물Link")</f>
        <v/>
      </c>
      <c r="Q1037" s="6">
        <f>HYPERLINK("https://map.naver.com/p/search/오송읍 봉산리 847", "지도Link")</f>
        <v/>
      </c>
      <c r="R1037" s="6">
        <f>HYPERLINK("http://www.eum.go.kr/web/ar/lu/luLandDet.jsp?pnu=4311325031108470000&amp;isNoScr=script&amp;mode=search",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250.2</v>
      </c>
      <c r="V1037" s="4" t="n">
        <v>271.4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848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전세</t>
        </is>
      </c>
      <c r="G1038" s="4" t="n">
        <v>23000</v>
      </c>
      <c r="H1038" s="4" t="n">
        <v>0</v>
      </c>
      <c r="I1038" s="4" t="n">
        <v>135</v>
      </c>
      <c r="J1038" s="4" t="n">
        <v>41</v>
      </c>
      <c r="K1038" s="5" t="n">
        <v>561</v>
      </c>
      <c r="L1038" s="4" t="n">
        <v>117</v>
      </c>
      <c r="M1038" s="4" t="n">
        <v>35</v>
      </c>
      <c r="N1038" s="5" t="n">
        <v>657.1</v>
      </c>
      <c r="O1038" s="3" t="inlineStr">
        <is>
          <t>아주 넓은 주인세대 전세입니다.</t>
        </is>
      </c>
      <c r="P1038" s="6">
        <f>HYPERLINK("https://fin.land.naver.com/articles/2652508181", "매물Link")</f>
        <v/>
      </c>
      <c r="Q1038" s="6">
        <f>HYPERLINK("https://map.naver.com/p/search/오송읍 봉산리 848", "지도Link")</f>
        <v/>
      </c>
      <c r="R1038" s="6">
        <f>HYPERLINK("http://www.eum.go.kr/web/ar/lu/luLandDet.jsp?pnu=4311325031108480000&amp;isNoScr=script&amp;mode=search", "토지이음")</f>
        <v/>
      </c>
      <c r="S1038" s="3" t="inlineStr">
        <is>
          <t>세종오송</t>
        </is>
      </c>
      <c r="T1038" s="4" t="n">
        <v>1</v>
      </c>
      <c r="U1038" s="5" t="n">
        <v>205.7</v>
      </c>
      <c r="V1038" s="4" t="n">
        <v>278.1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851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300</v>
      </c>
      <c r="H1039" s="4" t="n">
        <v>45</v>
      </c>
      <c r="I1039" s="4" t="n">
        <v>0</v>
      </c>
      <c r="J1039" s="4" t="n">
        <v>0</v>
      </c>
      <c r="K1039" s="5" t="n">
        <v>0</v>
      </c>
      <c r="L1039" s="4" t="n">
        <v>19</v>
      </c>
      <c r="M1039" s="4" t="n">
        <v>6</v>
      </c>
      <c r="N1039" s="5" t="n">
        <v>7.5</v>
      </c>
      <c r="O1039" s="3" t="inlineStr">
        <is>
          <t>오송2단지 ,즉시입주 원룸,중문,도배완료 , 실속있는 매물</t>
        </is>
      </c>
      <c r="P1039" s="6">
        <f>HYPERLINK("https://fin.land.naver.com/articles/2654243484", "매물Link")</f>
        <v/>
      </c>
      <c r="Q1039" s="6">
        <f>HYPERLINK("https://map.naver.com/p/search/오송읍 봉산리 851", "지도Link")</f>
        <v/>
      </c>
      <c r="R1039" s="6">
        <f>HYPERLINK("http://www.eum.go.kr/web/ar/lu/luLandDet.jsp?pnu=4311325031108510000&amp;isNoScr=script&amp;mode=search",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205.7</v>
      </c>
      <c r="V1039" s="4" t="n">
        <v>277.1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nan</t>
        </is>
      </c>
      <c r="P1040" s="6">
        <f>HYPERLINK("https://fin.land.naver.com/articles/2651801970",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미래n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대지크기,월수익 압도적 1위 다가구주택</t>
        </is>
      </c>
      <c r="P1041" s="6">
        <f>HYPERLINK("https://fin.land.naver.com/articles/2651061009",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e복덕방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855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255000</v>
      </c>
      <c r="H1043" s="4" t="n">
        <v>0</v>
      </c>
      <c r="I1043" s="4" t="n">
        <v>436</v>
      </c>
      <c r="J1043" s="4" t="n">
        <v>132</v>
      </c>
      <c r="K1043" s="5" t="n">
        <v>1931.8</v>
      </c>
      <c r="L1043" s="4" t="n">
        <v>727</v>
      </c>
      <c r="M1043" s="4" t="n">
        <v>220</v>
      </c>
      <c r="N1043" s="5" t="n">
        <v>1159.1</v>
      </c>
      <c r="O1043" s="3" t="inlineStr">
        <is>
          <t>월1천이상 신축단지 땅 제일 큰 상가주택, 초반짝반짝 새건물</t>
        </is>
      </c>
      <c r="P1043" s="6">
        <f>HYPERLINK("https://fin.land.naver.com/articles/2653989477", "매물Link")</f>
        <v/>
      </c>
      <c r="Q1043" s="6">
        <f>HYPERLINK("https://map.naver.com/p/search/오송읍 봉산리 855", "지도Link")</f>
        <v/>
      </c>
      <c r="R1043" s="6">
        <f>HYPERLINK("http://www.eum.go.kr/web/ar/lu/luLandDet.jsp?pnu=4311325031108550000&amp;isNoScr=script&amp;mode=search",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215.7</v>
      </c>
      <c r="V1043" s="4" t="n">
        <v>436.2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소로각지</t>
        </is>
      </c>
    </row>
    <row r="1044">
      <c r="A1044" s="3" t="inlineStr">
        <is>
          <t>오송읍 봉산리 855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255000</v>
      </c>
      <c r="H1044" s="4" t="n">
        <v>0</v>
      </c>
      <c r="I1044" s="4" t="n">
        <v>436</v>
      </c>
      <c r="J1044" s="4" t="n">
        <v>132</v>
      </c>
      <c r="K1044" s="5" t="n">
        <v>1931.8</v>
      </c>
      <c r="L1044" s="4" t="n">
        <v>727</v>
      </c>
      <c r="M1044" s="4" t="n">
        <v>220</v>
      </c>
      <c r="N1044" s="5" t="n">
        <v>1159.1</v>
      </c>
      <c r="O1044" s="3" t="inlineStr">
        <is>
          <t>오송2산단 다가구주택 매매</t>
        </is>
      </c>
      <c r="P1044" s="6">
        <f>HYPERLINK("https://fin.land.naver.com/articles/2653410221", "매물Link")</f>
        <v/>
      </c>
      <c r="Q1044" s="6">
        <f>HYPERLINK("https://map.naver.com/p/search/오송읍 봉산리 855", "지도Link")</f>
        <v/>
      </c>
      <c r="R1044" s="6">
        <f>HYPERLINK("http://www.eum.go.kr/web/ar/lu/luLandDet.jsp?pnu=4311325031108550000&amp;isNoScr=script&amp;mode=search", "토지이음")</f>
        <v/>
      </c>
      <c r="S1044" s="3" t="inlineStr">
        <is>
          <t>오송좋은날</t>
        </is>
      </c>
      <c r="T1044" s="4" t="n">
        <v>1</v>
      </c>
      <c r="U1044" s="5" t="n">
        <v>215.7</v>
      </c>
      <c r="V1044" s="4" t="n">
        <v>436.2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135000</v>
      </c>
      <c r="H1045" s="4" t="n">
        <v>0</v>
      </c>
      <c r="I1045" s="4" t="n">
        <v>280</v>
      </c>
      <c r="J1045" s="4" t="n">
        <v>85</v>
      </c>
      <c r="K1045" s="5" t="n">
        <v>1588.2</v>
      </c>
      <c r="L1045" s="4" t="n">
        <v>494</v>
      </c>
      <c r="M1045" s="4" t="n">
        <v>149</v>
      </c>
      <c r="N1045" s="5" t="n">
        <v>906</v>
      </c>
      <c r="O1045" s="3" t="inlineStr">
        <is>
          <t>임대공실 없는 매물입니다, 건물관리가 잘되어 있는 건물 입니다</t>
        </is>
      </c>
      <c r="P1045" s="6">
        <f>HYPERLINK("https://fin.land.naver.com/articles/2654014641",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오송2단지창조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70</v>
      </c>
      <c r="I1046" s="4" t="n">
        <v>0</v>
      </c>
      <c r="J1046" s="4" t="n">
        <v>0</v>
      </c>
      <c r="K1046" s="5" t="n">
        <v>0</v>
      </c>
      <c r="L1046" s="4" t="n">
        <v>41</v>
      </c>
      <c r="M1046" s="4" t="n">
        <v>12</v>
      </c>
      <c r="N1046" s="5" t="n">
        <v>5.8</v>
      </c>
      <c r="O1046" s="3" t="inlineStr">
        <is>
          <t>주차 편리 조용한 주택가에 위치한 대형 투룸 월세,대형 붙박이장,풀옵</t>
        </is>
      </c>
      <c r="P1046" s="6">
        <f>HYPERLINK("https://fin.land.naver.com/articles/2653527284",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860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500</v>
      </c>
      <c r="H1047" s="4" t="n">
        <v>60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8.6</v>
      </c>
      <c r="O1047" s="3" t="inlineStr">
        <is>
          <t>11월초 입주 가능, 공원 앞에 위치한 투베이,주차 편리한 위치</t>
        </is>
      </c>
      <c r="P1047" s="6">
        <f>HYPERLINK("https://fin.land.naver.com/articles/2654295939", "매물Link")</f>
        <v/>
      </c>
      <c r="Q1047" s="6">
        <f>HYPERLINK("https://map.naver.com/p/search/오송읍 봉산리 860", "지도Link")</f>
        <v/>
      </c>
      <c r="R1047" s="6">
        <f>HYPERLINK("http://www.eum.go.kr/web/ar/lu/luLandDet.jsp?pnu=4311325031108600000&amp;isNoScr=script&amp;mode=search",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280.1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다가구</t>
        </is>
      </c>
      <c r="F1048" s="3" t="inlineStr">
        <is>
          <t>매매</t>
        </is>
      </c>
      <c r="G1048" s="4" t="n">
        <v>135000</v>
      </c>
      <c r="H1048" s="4" t="n">
        <v>0</v>
      </c>
      <c r="I1048" s="4" t="n">
        <v>280</v>
      </c>
      <c r="J1048" s="4" t="n">
        <v>85</v>
      </c>
      <c r="K1048" s="5" t="n">
        <v>1588.2</v>
      </c>
      <c r="L1048" s="4" t="n">
        <v>494</v>
      </c>
      <c r="M1048" s="4" t="n">
        <v>149</v>
      </c>
      <c r="N1048" s="5" t="n">
        <v>906</v>
      </c>
      <c r="O1048" s="3" t="inlineStr">
        <is>
          <t>한적한 주택가  매매가 강력추천 매물</t>
        </is>
      </c>
      <c r="P1048" s="6">
        <f>HYPERLINK("https://fin.land.naver.com/articles/2652989986", "매물Link")</f>
        <v/>
      </c>
      <c r="Q1048" s="6">
        <f>HYPERLINK("https://map.naver.com/p/search/오송읍 봉산리 860", "지도Link")</f>
        <v/>
      </c>
      <c r="R1048" s="6">
        <f>HYPERLINK("http://www.eum.go.kr/web/ar/lu/luLandDet.jsp?pnu=4311325031108600000&amp;isNoScr=script&amp;mode=search", "토지이음")</f>
        <v/>
      </c>
      <c r="S1048" s="3" t="inlineStr">
        <is>
          <t>오송1단지창조</t>
        </is>
      </c>
      <c r="T1048" s="4" t="n">
        <v>1</v>
      </c>
      <c r="U1048" s="5" t="n">
        <v>205.7</v>
      </c>
      <c r="V1048" s="4" t="n">
        <v>280.1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867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145000</v>
      </c>
      <c r="H1049" s="4" t="n">
        <v>0</v>
      </c>
      <c r="I1049" s="4" t="n">
        <v>271</v>
      </c>
      <c r="J1049" s="4" t="n">
        <v>82</v>
      </c>
      <c r="K1049" s="5" t="n">
        <v>1768.3</v>
      </c>
      <c r="L1049" s="4" t="n">
        <v>500</v>
      </c>
      <c r="M1049" s="4" t="n">
        <v>151</v>
      </c>
      <c r="N1049" s="5" t="n">
        <v>960.3</v>
      </c>
      <c r="O1049" s="3" t="inlineStr">
        <is>
          <t>풀옵션 역세권  오송역KTX  도보 이용 가능 교통 교육 생활 인프라 굿</t>
        </is>
      </c>
      <c r="P1049" s="6">
        <f>HYPERLINK("https://fin.land.naver.com/articles/2651272857", "매물Link")</f>
        <v/>
      </c>
      <c r="Q1049" s="6">
        <f>HYPERLINK("https://map.naver.com/p/search/오송읍 봉산리 867", "지도Link")</f>
        <v/>
      </c>
      <c r="R1049" s="6">
        <f>HYPERLINK("http://www.eum.go.kr/web/ar/lu/luLandDet.jsp?pnu=4311325031108670000&amp;isNoScr=script&amp;mode=search", "토지이음")</f>
        <v/>
      </c>
      <c r="S1049" s="3" t="inlineStr">
        <is>
          <t>오송퍼스트영웅</t>
        </is>
      </c>
      <c r="T1049" s="4" t="n">
        <v>1</v>
      </c>
      <c r="U1049" s="5" t="n">
        <v>205.7</v>
      </c>
      <c r="V1049" s="4" t="n">
        <v>271.4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867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145000</v>
      </c>
      <c r="H1050" s="4" t="n">
        <v>0</v>
      </c>
      <c r="I1050" s="4" t="n">
        <v>271</v>
      </c>
      <c r="J1050" s="4" t="n">
        <v>82</v>
      </c>
      <c r="K1050" s="5" t="n">
        <v>1768.3</v>
      </c>
      <c r="L1050" s="4" t="n">
        <v>500</v>
      </c>
      <c r="M1050" s="4" t="n">
        <v>151</v>
      </c>
      <c r="N1050" s="5" t="n">
        <v>960.3</v>
      </c>
      <c r="O1050" s="3" t="inlineStr">
        <is>
          <t>초등학교 유치원 인근, 임대완료, 건물구성 좋아요</t>
        </is>
      </c>
      <c r="P1050" s="6">
        <f>HYPERLINK("https://fin.land.naver.com/articles/2650881457", "매물Link")</f>
        <v/>
      </c>
      <c r="Q1050" s="6">
        <f>HYPERLINK("https://map.naver.com/p/search/오송읍 봉산리 867", "지도Link")</f>
        <v/>
      </c>
      <c r="R1050" s="6">
        <f>HYPERLINK("http://www.eum.go.kr/web/ar/lu/luLandDet.jsp?pnu=4311325031108670000&amp;isNoScr=script&amp;mode=search",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205.7</v>
      </c>
      <c r="V1050" s="4" t="n">
        <v>271.4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867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271</v>
      </c>
      <c r="J1051" s="4" t="n">
        <v>82</v>
      </c>
      <c r="K1051" s="5" t="n">
        <v>1829.3</v>
      </c>
      <c r="L1051" s="4" t="n">
        <v>500</v>
      </c>
      <c r="M1051" s="4" t="n">
        <v>151</v>
      </c>
      <c r="N1051" s="5" t="n">
        <v>993.4</v>
      </c>
      <c r="O1051" s="3" t="inlineStr">
        <is>
          <t>공원인근 산책하기 좋은 건물위치,투자매물입니다</t>
        </is>
      </c>
      <c r="P1051" s="6">
        <f>HYPERLINK("https://fin.land.naver.com/articles/2654604430", "매물Link")</f>
        <v/>
      </c>
      <c r="Q1051" s="6">
        <f>HYPERLINK("https://map.naver.com/p/search/오송읍 봉산리 867", "지도Link")</f>
        <v/>
      </c>
      <c r="R1051" s="6">
        <f>HYPERLINK("http://www.eum.go.kr/web/ar/lu/luLandDet.jsp?pnu=4311325031108670000&amp;isNoScr=script&amp;mode=search", "토지이음")</f>
        <v/>
      </c>
      <c r="S1051" s="3" t="inlineStr">
        <is>
          <t>오송2단지창조</t>
        </is>
      </c>
      <c r="T1051" s="4" t="n">
        <v>1</v>
      </c>
      <c r="U1051" s="5" t="n">
        <v>205.7</v>
      </c>
      <c r="V1051" s="4" t="n">
        <v>271.4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873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다가구</t>
        </is>
      </c>
      <c r="F1052" s="3" t="inlineStr">
        <is>
          <t>월세</t>
        </is>
      </c>
      <c r="G1052" s="4" t="n">
        <v>500</v>
      </c>
      <c r="H1052" s="4" t="n">
        <v>55</v>
      </c>
      <c r="I1052" s="4" t="n">
        <v>30</v>
      </c>
      <c r="J1052" s="4" t="n">
        <v>9</v>
      </c>
      <c r="K1052" s="5" t="n">
        <v>6.1</v>
      </c>
      <c r="L1052" s="4" t="n">
        <v>30</v>
      </c>
      <c r="M1052" s="4" t="n">
        <v>9</v>
      </c>
      <c r="N1052" s="5" t="n">
        <v>6.1</v>
      </c>
      <c r="O1052" s="3" t="inlineStr">
        <is>
          <t>구조좋고 넓은 투베이,주차하기좋고 조용한곳,오송역근거리</t>
        </is>
      </c>
      <c r="P1052" s="6">
        <f>HYPERLINK("https://fin.land.naver.com/articles/2656105733", "매물Link")</f>
        <v/>
      </c>
      <c r="Q1052" s="6">
        <f>HYPERLINK("https://map.naver.com/p/search/오송읍 봉산리 873", "지도Link")</f>
        <v/>
      </c>
      <c r="R1052" s="6">
        <f>HYPERLINK("http://www.eum.go.kr/web/ar/lu/luLandDet.jsp?pnu=4311325031108730000&amp;isNoScr=script&amp;mode=search", "토지이음")</f>
        <v/>
      </c>
      <c r="S1052" s="3" t="inlineStr">
        <is>
          <t>오송올래</t>
        </is>
      </c>
      <c r="T1052" s="4" t="n">
        <v>1</v>
      </c>
      <c r="U1052" s="5" t="n">
        <v>236</v>
      </c>
      <c r="V1052" s="4" t="n">
        <v>270.7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876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500</v>
      </c>
      <c r="H1053" s="4" t="n">
        <v>61</v>
      </c>
      <c r="I1053" s="4" t="n">
        <v>61</v>
      </c>
      <c r="J1053" s="4" t="n">
        <v>18</v>
      </c>
      <c r="K1053" s="5" t="n">
        <v>3.4</v>
      </c>
      <c r="L1053" s="4" t="n">
        <v>31</v>
      </c>
      <c r="M1053" s="4" t="n">
        <v>9</v>
      </c>
      <c r="N1053" s="5" t="n">
        <v>6.8</v>
      </c>
      <c r="O1053" s="3" t="inlineStr">
        <is>
          <t>큰길가,베란다 있는 넓은 투베이</t>
        </is>
      </c>
      <c r="P1053" s="6">
        <f>HYPERLINK("https://fin.land.naver.com/articles/2655293457", "매물Link")</f>
        <v/>
      </c>
      <c r="Q1053" s="6">
        <f>HYPERLINK("https://map.naver.com/p/search/오송읍 봉산리 876", "지도Link")</f>
        <v/>
      </c>
      <c r="R1053" s="6">
        <f>HYPERLINK("http://www.eum.go.kr/web/ar/lu/luLandDet.jsp?pnu=4311325031108760000&amp;isNoScr=script&amp;mode=search",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236</v>
      </c>
      <c r="V1053" s="4" t="n">
        <v>261.2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880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전세</t>
        </is>
      </c>
      <c r="G1054" s="4" t="n">
        <v>20000</v>
      </c>
      <c r="H1054" s="4" t="n">
        <v>0</v>
      </c>
      <c r="I1054" s="4" t="n">
        <v>135</v>
      </c>
      <c r="J1054" s="4" t="n">
        <v>41</v>
      </c>
      <c r="K1054" s="5" t="n">
        <v>487.8</v>
      </c>
      <c r="L1054" s="4" t="n">
        <v>118</v>
      </c>
      <c r="M1054" s="4" t="n">
        <v>36</v>
      </c>
      <c r="N1054" s="5" t="n">
        <v>555.6</v>
      </c>
      <c r="O1054" s="3" t="inlineStr">
        <is>
          <t>신축전세 오송역세권으로 인프라좋고 주변편의시설확충 공원과산책로 건강코스</t>
        </is>
      </c>
      <c r="P1054" s="6">
        <f>HYPERLINK("https://fin.land.naver.com/articles/2656060347", "매물Link")</f>
        <v/>
      </c>
      <c r="Q1054" s="6">
        <f>HYPERLINK("https://map.naver.com/p/search/오송읍 봉산리 880", "지도Link")</f>
        <v/>
      </c>
      <c r="R1054" s="6">
        <f>HYPERLINK("http://www.eum.go.kr/web/ar/lu/luLandDet.jsp?pnu=4311325031108800000&amp;isNoScr=script&amp;mode=search",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250.2</v>
      </c>
      <c r="V1054" s="4" t="n">
        <v>251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906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160000</v>
      </c>
      <c r="H1055" s="4" t="n">
        <v>0</v>
      </c>
      <c r="I1055" s="4" t="n">
        <v>247</v>
      </c>
      <c r="J1055" s="4" t="n">
        <v>75</v>
      </c>
      <c r="K1055" s="5" t="n">
        <v>2133.3</v>
      </c>
      <c r="L1055" s="4" t="n">
        <v>493</v>
      </c>
      <c r="M1055" s="4" t="n">
        <v>149</v>
      </c>
      <c r="N1055" s="5" t="n">
        <v>1073.8</v>
      </c>
      <c r="O1055" s="3" t="inlineStr">
        <is>
          <t>운동장같은 단독 옥상이 매력적인 상가주택, 대로변, 태양광설치완료</t>
        </is>
      </c>
      <c r="P1055" s="6">
        <f>HYPERLINK("https://fin.land.naver.com/articles/2653783825", "매물Link")</f>
        <v/>
      </c>
      <c r="Q1055" s="6">
        <f>HYPERLINK("https://map.naver.com/p/search/오송읍 봉산리 906", "지도Link")</f>
        <v/>
      </c>
      <c r="R1055" s="6">
        <f>HYPERLINK("http://www.eum.go.kr/web/ar/lu/luLandDet.jsp?pnu=4311325031109060000&amp;isNoScr=script&amp;mode=search",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339.2</v>
      </c>
      <c r="V1055" s="4" t="n">
        <v>247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중로각지</t>
        </is>
      </c>
    </row>
    <row r="1056">
      <c r="A1056" s="3" t="inlineStr">
        <is>
          <t>오송읍 봉산리 906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160000</v>
      </c>
      <c r="H1056" s="4" t="n">
        <v>0</v>
      </c>
      <c r="I1056" s="4" t="n">
        <v>247</v>
      </c>
      <c r="J1056" s="4" t="n">
        <v>75</v>
      </c>
      <c r="K1056" s="5" t="n">
        <v>2133.3</v>
      </c>
      <c r="L1056" s="4" t="n">
        <v>493</v>
      </c>
      <c r="M1056" s="4" t="n">
        <v>149</v>
      </c>
      <c r="N1056" s="5" t="n">
        <v>1073.8</v>
      </c>
      <c r="O1056" s="3" t="inlineStr">
        <is>
          <t>대로변 캠핑장 같은 옥상 태양광 설치로 전기세 공짜</t>
        </is>
      </c>
      <c r="P1056" s="6">
        <f>HYPERLINK("https://fin.land.naver.com/articles/2655104581", "매물Link")</f>
        <v/>
      </c>
      <c r="Q1056" s="6">
        <f>HYPERLINK("https://map.naver.com/p/search/오송읍 봉산리 906", "지도Link")</f>
        <v/>
      </c>
      <c r="R1056" s="6">
        <f>HYPERLINK("http://www.eum.go.kr/web/ar/lu/luLandDet.jsp?pnu=4311325031109060000&amp;isNoScr=script&amp;mode=search",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339.2</v>
      </c>
      <c r="V1056" s="4" t="n">
        <v>247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중로각지</t>
        </is>
      </c>
    </row>
    <row r="1057">
      <c r="A1057" s="3" t="inlineStr">
        <is>
          <t>오송읍 봉산리 922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2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</v>
      </c>
      <c r="H1057" s="4" t="n">
        <v>46</v>
      </c>
      <c r="I1057" s="4" t="n">
        <v>0</v>
      </c>
      <c r="J1057" s="4" t="n">
        <v>0</v>
      </c>
      <c r="K1057" s="5" t="n">
        <v>0</v>
      </c>
      <c r="L1057" s="4" t="n">
        <v>24</v>
      </c>
      <c r="M1057" s="4" t="n">
        <v>7</v>
      </c>
      <c r="N1057" s="5" t="n">
        <v>6.6</v>
      </c>
      <c r="O1057" s="3" t="inlineStr">
        <is>
          <t>ㄸr봉 오송2산단 가성비 좋고 침대까지 갖춘 풀옵션 원룸</t>
        </is>
      </c>
      <c r="P1057" s="6">
        <f>HYPERLINK("https://fin.land.naver.com/articles/2652371093", "매물Link")</f>
        <v/>
      </c>
      <c r="Q1057" s="6">
        <f>HYPERLINK("https://map.naver.com/p/search/오송읍 봉산리 922", "지도Link")</f>
        <v/>
      </c>
      <c r="R1057" s="6">
        <f>HYPERLINK("http://www.eum.go.kr/web/ar/lu/luLandDet.jsp?pnu=4311325031109220000&amp;isNoScr=script&amp;mode=search", "토지이음")</f>
        <v/>
      </c>
      <c r="S1057" s="3" t="inlineStr">
        <is>
          <t>오송프렌즈</t>
        </is>
      </c>
      <c r="T1057" s="4" t="n">
        <v>1</v>
      </c>
      <c r="U1057" s="5" t="n">
        <v>205.7</v>
      </c>
      <c r="V1057" s="4" t="n">
        <v>274.1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300</v>
      </c>
      <c r="H1058" s="4" t="n">
        <v>46</v>
      </c>
      <c r="I1058" s="4" t="n">
        <v>58</v>
      </c>
      <c r="J1058" s="4" t="n">
        <v>18</v>
      </c>
      <c r="K1058" s="5" t="n">
        <v>2.6</v>
      </c>
      <c r="L1058" s="4" t="n">
        <v>24</v>
      </c>
      <c r="M1058" s="4" t="n">
        <v>7</v>
      </c>
      <c r="N1058" s="5" t="n">
        <v>6.6</v>
      </c>
      <c r="O1058" s="3" t="inlineStr">
        <is>
          <t>원룸의 정석 , 군더더기없는 원룸</t>
        </is>
      </c>
      <c r="P1058" s="6">
        <f>HYPERLINK("https://fin.land.naver.com/articles/2652442632", "매물Link")</f>
        <v/>
      </c>
      <c r="Q1058" s="6">
        <f>HYPERLINK("https://map.naver.com/p/search/오송읍 봉산리 922", "지도Link")</f>
        <v/>
      </c>
      <c r="R1058" s="6">
        <f>HYPERLINK("http://www.eum.go.kr/web/ar/lu/luLandDet.jsp?pnu=4311325031109220000&amp;isNoScr=script&amp;mode=search", "토지이음")</f>
        <v/>
      </c>
      <c r="S1058" s="3" t="inlineStr">
        <is>
          <t>프로</t>
        </is>
      </c>
      <c r="T1058" s="4" t="n">
        <v>1</v>
      </c>
      <c r="U1058" s="5" t="n">
        <v>205.7</v>
      </c>
      <c r="V1058" s="4" t="n">
        <v>274.1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쓰리룸 주인세대,필로티 주차장,수납력 짱짱인 매물,신혼부부,회사숙소 추천</t>
        </is>
      </c>
      <c r="P1059" s="6">
        <f>HYPERLINK("https://fin.land.naver.com/articles/2654903922",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오송바이오창조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300</v>
      </c>
      <c r="H1060" s="4" t="n">
        <v>47</v>
      </c>
      <c r="I1060" s="4" t="n">
        <v>0</v>
      </c>
      <c r="J1060" s="4" t="n">
        <v>0</v>
      </c>
      <c r="K1060" s="5" t="n">
        <v>0</v>
      </c>
      <c r="L1060" s="4" t="n">
        <v>19</v>
      </c>
      <c r="M1060" s="4" t="n">
        <v>6</v>
      </c>
      <c r="N1060" s="5" t="n">
        <v>7.8</v>
      </c>
      <c r="O1060" s="3" t="inlineStr">
        <is>
          <t>빠른입주 가능한 깔끔한 신축 분리형 원룸 ,컨디션 좋아요</t>
        </is>
      </c>
      <c r="P1060" s="6">
        <f>HYPERLINK("https://fin.land.naver.com/articles/2653748913", "매물Link")</f>
        <v/>
      </c>
      <c r="Q1060" s="6">
        <f>HYPERLINK("https://map.naver.com/p/search/오송읍 봉산리 923", "지도Link")</f>
        <v/>
      </c>
      <c r="R1060" s="6">
        <f>HYPERLINK("http://www.eum.go.kr/web/ar/lu/luLandDet.jsp?pnu=4311325031109230000&amp;isNoScr=script&amp;mode=search", "토지이음")</f>
        <v/>
      </c>
      <c r="S1060" s="3" t="inlineStr">
        <is>
          <t>오송바이오창조</t>
        </is>
      </c>
      <c r="T1060" s="4" t="n">
        <v>1</v>
      </c>
      <c r="U1060" s="5" t="n">
        <v>205.7</v>
      </c>
      <c r="V1060" s="4" t="n">
        <v>274.2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소로한면</t>
        </is>
      </c>
    </row>
    <row r="1061">
      <c r="A1061" s="3" t="inlineStr">
        <is>
          <t>오송읍 봉산리 923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10000</v>
      </c>
      <c r="H1061" s="4" t="n">
        <v>20</v>
      </c>
      <c r="I1061" s="4" t="n">
        <v>144</v>
      </c>
      <c r="J1061" s="4" t="n">
        <v>44</v>
      </c>
      <c r="K1061" s="5" t="n">
        <v>0.5</v>
      </c>
      <c r="L1061" s="4" t="n">
        <v>49</v>
      </c>
      <c r="M1061" s="4" t="n">
        <v>15</v>
      </c>
      <c r="N1061" s="5" t="n">
        <v>1.3</v>
      </c>
      <c r="O1061" s="3" t="inlineStr">
        <is>
          <t>즉시 입주, 반전세 투룸</t>
        </is>
      </c>
      <c r="P1061" s="6">
        <f>HYPERLINK("https://fin.land.naver.com/articles/2655954588", "매물Link")</f>
        <v/>
      </c>
      <c r="Q1061" s="6">
        <f>HYPERLINK("https://map.naver.com/p/search/오송읍 봉산리 923", "지도Link")</f>
        <v/>
      </c>
      <c r="R1061" s="6">
        <f>HYPERLINK("http://www.eum.go.kr/web/ar/lu/luLandDet.jsp?pnu=4311325031109230000&amp;isNoScr=script&amp;mode=search",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205.7</v>
      </c>
      <c r="V1061" s="4" t="n">
        <v>274.2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다가구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148</v>
      </c>
      <c r="J1062" s="4" t="n">
        <v>45</v>
      </c>
      <c r="K1062" s="5" t="n">
        <v>1.3</v>
      </c>
      <c r="L1062" s="4" t="n">
        <v>35</v>
      </c>
      <c r="M1062" s="4" t="n">
        <v>11</v>
      </c>
      <c r="N1062" s="5" t="n">
        <v>5.2</v>
      </c>
      <c r="O1062" s="3" t="inlineStr">
        <is>
          <t>신축투베이 오송역세권으로 인프라좋고 주변편의시설확충 주차컨디션최고</t>
        </is>
      </c>
      <c r="P1062" s="6">
        <f>HYPERLINK("https://fin.land.naver.com/articles/2655832825",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하림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926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2500</v>
      </c>
      <c r="H1063" s="4" t="n">
        <v>54</v>
      </c>
      <c r="I1063" s="4" t="n">
        <v>0</v>
      </c>
      <c r="J1063" s="4" t="n">
        <v>0</v>
      </c>
      <c r="K1063" s="5" t="n">
        <v>0</v>
      </c>
      <c r="L1063" s="4" t="n">
        <v>35</v>
      </c>
      <c r="M1063" s="4" t="n">
        <v>11</v>
      </c>
      <c r="N1063" s="5" t="n">
        <v>4.9</v>
      </c>
      <c r="O1063" s="3" t="inlineStr">
        <is>
          <t>ㄸr봉 26년 신축 깔끔하고 세련된 화이트톤   풀옵션 투베이</t>
        </is>
      </c>
      <c r="P1063" s="6">
        <f>HYPERLINK("https://fin.land.naver.com/articles/2651138467", "매물Link")</f>
        <v/>
      </c>
      <c r="Q1063" s="6">
        <f>HYPERLINK("https://map.naver.com/p/search/오송읍 봉산리 926", "지도Link")</f>
        <v/>
      </c>
      <c r="R1063" s="6">
        <f>HYPERLINK("http://www.eum.go.kr/web/ar/lu/luLandDet.jsp?pnu=4311325031109260000&amp;isNoScr=script&amp;mode=search", "토지이음")</f>
        <v/>
      </c>
      <c r="S1063" s="3" t="inlineStr">
        <is>
          <t>오송프렌즈</t>
        </is>
      </c>
      <c r="T1063" s="4" t="n">
        <v>1</v>
      </c>
      <c r="U1063" s="5" t="n">
        <v>218</v>
      </c>
      <c r="V1063" s="4" t="n">
        <v>266.8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다가구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코너 각지 상가주택</t>
        </is>
      </c>
      <c r="P1064" s="6">
        <f>HYPERLINK("https://fin.land.naver.com/articles/2655538498",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오송1단지창조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927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상가주택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273</v>
      </c>
      <c r="J1065" s="4" t="n">
        <v>83</v>
      </c>
      <c r="K1065" s="5" t="n">
        <v>1807.2</v>
      </c>
      <c r="L1065" s="4" t="n">
        <v>491</v>
      </c>
      <c r="M1065" s="4" t="n">
        <v>149</v>
      </c>
      <c r="N1065" s="5" t="n">
        <v>1006.7</v>
      </c>
      <c r="O1065" s="3" t="inlineStr">
        <is>
          <t>주인세대가 아주 넓고 햇살이 잘드는 코너건물의 장점이 많은 건물입니다</t>
        </is>
      </c>
      <c r="P1065" s="6">
        <f>HYPERLINK("https://fin.land.naver.com/articles/2654604656", "매물Link")</f>
        <v/>
      </c>
      <c r="Q1065" s="6">
        <f>HYPERLINK("https://map.naver.com/p/search/오송읍 봉산리 927", "지도Link")</f>
        <v/>
      </c>
      <c r="R1065" s="6">
        <f>HYPERLINK("http://www.eum.go.kr/web/ar/lu/luLandDet.jsp?pnu=4311325031109270000&amp;isNoScr=script&amp;mode=search", "토지이음")</f>
        <v/>
      </c>
      <c r="S1065" s="3" t="inlineStr">
        <is>
          <t>오송2단지창조</t>
        </is>
      </c>
      <c r="T1065" s="4" t="n">
        <v>1</v>
      </c>
      <c r="U1065" s="5" t="n">
        <v>218</v>
      </c>
      <c r="V1065" s="4" t="n">
        <v>273.3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소로각지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단독</t>
        </is>
      </c>
      <c r="F1066" s="3" t="inlineStr">
        <is>
          <t>월세</t>
        </is>
      </c>
      <c r="G1066" s="4" t="n">
        <v>3000</v>
      </c>
      <c r="H1066" s="4" t="n">
        <v>100</v>
      </c>
      <c r="I1066" s="4" t="n">
        <v>119</v>
      </c>
      <c r="J1066" s="4" t="n">
        <v>36</v>
      </c>
      <c r="K1066" s="5" t="n">
        <v>2.8</v>
      </c>
      <c r="L1066" s="4" t="n">
        <v>101</v>
      </c>
      <c r="M1066" s="4" t="n">
        <v>31</v>
      </c>
      <c r="N1066" s="5" t="n">
        <v>3.2</v>
      </c>
      <c r="O1066" s="3" t="inlineStr">
        <is>
          <t>주인세대 신축건물로 오송역세권의 인프라좋고 주변편의시설확충 공원산책</t>
        </is>
      </c>
      <c r="P1066" s="6">
        <f>HYPERLINK("https://fin.land.naver.com/articles/2652811473",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하림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929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165000</v>
      </c>
      <c r="H1067" s="4" t="n">
        <v>0</v>
      </c>
      <c r="I1067" s="4" t="n">
        <v>278</v>
      </c>
      <c r="J1067" s="4" t="n">
        <v>84</v>
      </c>
      <c r="K1067" s="5" t="n">
        <v>1964.3</v>
      </c>
      <c r="L1067" s="4" t="n">
        <v>488</v>
      </c>
      <c r="M1067" s="4" t="n">
        <v>148</v>
      </c>
      <c r="N1067" s="5" t="n">
        <v>1114.9</v>
      </c>
      <c r="O1067" s="3" t="inlineStr">
        <is>
          <t>건물 특징</t>
        </is>
      </c>
      <c r="P1067" s="6">
        <f>HYPERLINK("https://fin.land.naver.com/articles/2653146019", "매물Link")</f>
        <v/>
      </c>
      <c r="Q1067" s="6">
        <f>HYPERLINK("https://map.naver.com/p/search/오송읍 봉산리 929", "지도Link")</f>
        <v/>
      </c>
      <c r="R1067" s="6">
        <f>HYPERLINK("http://www.eum.go.kr/web/ar/lu/luLandDet.jsp?pnu=4311325031109290000&amp;isNoScr=script&amp;mode=search", "토지이음")</f>
        <v/>
      </c>
      <c r="S1067" s="3" t="inlineStr">
        <is>
          <t>오송궁평마을</t>
        </is>
      </c>
      <c r="T1067" s="4" t="n">
        <v>1</v>
      </c>
      <c r="U1067" s="5" t="n">
        <v>205.7</v>
      </c>
      <c r="V1067" s="4" t="n">
        <v>278.3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932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125000</v>
      </c>
      <c r="H1069" s="4" t="n">
        <v>0</v>
      </c>
      <c r="I1069" s="4" t="n">
        <v>278</v>
      </c>
      <c r="J1069" s="4" t="n">
        <v>84</v>
      </c>
      <c r="K1069" s="5" t="n">
        <v>1488.1</v>
      </c>
      <c r="L1069" s="4" t="n">
        <v>495</v>
      </c>
      <c r="M1069" s="4" t="n">
        <v>150</v>
      </c>
      <c r="N1069" s="5" t="n">
        <v>833.3</v>
      </c>
      <c r="O1069" s="3" t="inlineStr">
        <is>
          <t>적은 투자금으로 투자하기 좋은 상가주택 추천 드립니다</t>
        </is>
      </c>
      <c r="P1069" s="6">
        <f>HYPERLINK("https://fin.land.naver.com/articles/2656438974", "매물Link")</f>
        <v/>
      </c>
      <c r="Q1069" s="6">
        <f>HYPERLINK("https://map.naver.com/p/search/오송읍 봉산리 932", "지도Link")</f>
        <v/>
      </c>
      <c r="R1069" s="6">
        <f>HYPERLINK("http://www.eum.go.kr/web/ar/lu/luLandDet.jsp?pnu=4311325031109320000&amp;isNoScr=script&amp;mode=search",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278.8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61</v>
      </c>
      <c r="J1070" s="4" t="n">
        <v>18</v>
      </c>
      <c r="K1070" s="5" t="n">
        <v>3.1</v>
      </c>
      <c r="L1070" s="4" t="n">
        <v>30</v>
      </c>
      <c r="M1070" s="4" t="n">
        <v>9</v>
      </c>
      <c r="N1070" s="5" t="n">
        <v>6.2</v>
      </c>
      <c r="O1070" s="3" t="inlineStr">
        <is>
          <t>즉시입주,넓은 투베이</t>
        </is>
      </c>
      <c r="P1070" s="6">
        <f>HYPERLINK("https://fin.land.naver.com/articles/2654954396",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프로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월세</t>
        </is>
      </c>
      <c r="G1071" s="4" t="n">
        <v>500</v>
      </c>
      <c r="H1071" s="4" t="n">
        <v>56</v>
      </c>
      <c r="I1071" s="4" t="n">
        <v>0</v>
      </c>
      <c r="J1071" s="4" t="n">
        <v>0</v>
      </c>
      <c r="K1071" s="5" t="n">
        <v>0</v>
      </c>
      <c r="L1071" s="4" t="n">
        <v>25</v>
      </c>
      <c r="M1071" s="4" t="n">
        <v>8</v>
      </c>
      <c r="N1071" s="5" t="n">
        <v>7</v>
      </c>
      <c r="O1071" s="3" t="inlineStr">
        <is>
          <t>ㄸr봉  위치좋고 넓게 잘빠진 투베이</t>
        </is>
      </c>
      <c r="P1071" s="6">
        <f>HYPERLINK("https://fin.land.naver.com/articles/2655170514",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오송프렌즈</t>
        </is>
      </c>
      <c r="T1071" s="4" t="n">
        <v>1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933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즉시입주 가능공원 앞 깔끔한 신축 대형 투베이 월세</t>
        </is>
      </c>
      <c r="P1072" s="6">
        <f>HYPERLINK("https://fin.land.naver.com/articles/2655169080", "매물Link")</f>
        <v/>
      </c>
      <c r="Q1072" s="6">
        <f>HYPERLINK("https://map.naver.com/p/search/오송읍 봉산리 933", "지도Link")</f>
        <v/>
      </c>
      <c r="R1072" s="6">
        <f>HYPERLINK("http://www.eum.go.kr/web/ar/lu/luLandDet.jsp?pnu=4311325031109330000&amp;isNoScr=script&amp;mode=search", "토지이음")</f>
        <v/>
      </c>
      <c r="S1072" s="3" t="inlineStr">
        <is>
          <t>오송바이오창조</t>
        </is>
      </c>
      <c r="T1072" s="4" t="n">
        <v>3</v>
      </c>
      <c r="U1072" s="5" t="n">
        <v>250.2</v>
      </c>
      <c r="V1072" s="4" t="n">
        <v>283.1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소로각지</t>
        </is>
      </c>
    </row>
    <row r="1073">
      <c r="A1073" s="3" t="inlineStr">
        <is>
          <t>오송읍 봉산리 942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2</t>
        </is>
      </c>
      <c r="E1073" s="3" t="inlineStr">
        <is>
          <t>단독</t>
        </is>
      </c>
      <c r="F1073" s="3" t="inlineStr">
        <is>
          <t>월세</t>
        </is>
      </c>
      <c r="G1073" s="4" t="n">
        <v>500</v>
      </c>
      <c r="H1073" s="4" t="n">
        <v>56</v>
      </c>
      <c r="I1073" s="4" t="n">
        <v>34</v>
      </c>
      <c r="J1073" s="4" t="n">
        <v>10</v>
      </c>
      <c r="K1073" s="5" t="n">
        <v>5.6</v>
      </c>
      <c r="L1073" s="4" t="n">
        <v>34</v>
      </c>
      <c r="M1073" s="4" t="n">
        <v>10</v>
      </c>
      <c r="N1073" s="5" t="n">
        <v>5.6</v>
      </c>
      <c r="O1073" s="3" t="inlineStr">
        <is>
          <t>최신식시설 깨끗한 남향 투베이 월세</t>
        </is>
      </c>
      <c r="P1073" s="6">
        <f>HYPERLINK("https://fin.land.naver.com/articles/2652303791", "매물Link")</f>
        <v/>
      </c>
      <c r="Q1073" s="6">
        <f>HYPERLINK("https://map.naver.com/p/search/오송읍 봉산리 942", "지도Link")</f>
        <v/>
      </c>
      <c r="R1073" s="6">
        <f>HYPERLINK("http://www.eum.go.kr/web/ar/lu/luLandDet.jsp?pnu=4311325031109420000&amp;isNoScr=script&amp;mode=search", "토지이음")</f>
        <v/>
      </c>
      <c r="S1073" s="3" t="inlineStr">
        <is>
          <t>오송유진</t>
        </is>
      </c>
      <c r="T1073" s="4" t="n">
        <v>1</v>
      </c>
      <c r="U1073" s="5" t="n">
        <v>236</v>
      </c>
      <c r="V1073" s="4" t="n">
        <v>276.3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월세</t>
        </is>
      </c>
      <c r="G1074" s="4" t="n">
        <v>2000</v>
      </c>
      <c r="H1074" s="4" t="n">
        <v>90</v>
      </c>
      <c r="I1074" s="4" t="n">
        <v>0</v>
      </c>
      <c r="J1074" s="4" t="n">
        <v>0</v>
      </c>
      <c r="K1074" s="5" t="n">
        <v>0</v>
      </c>
      <c r="L1074" s="4" t="n">
        <v>106</v>
      </c>
      <c r="M1074" s="4" t="n">
        <v>32</v>
      </c>
      <c r="N1074" s="5" t="n">
        <v>2.8</v>
      </c>
      <c r="O1074" s="3" t="inlineStr">
        <is>
          <t>개인테라스, 흔치 않은 쓰리룸 복층구조 주인세대 월세,가성비 최고</t>
        </is>
      </c>
      <c r="P1074" s="6">
        <f>HYPERLINK("https://fin.land.naver.com/articles/2655400019", "매물Link")</f>
        <v/>
      </c>
      <c r="Q1074" s="6">
        <f>HYPERLINK("https://map.naver.com/p/search/오송읍 봉산리 944", "지도Link")</f>
        <v/>
      </c>
      <c r="R1074" s="6">
        <f>HYPERLINK("http://www.eum.go.kr/web/ar/lu/luLandDet.jsp?pnu=4311325031109440000&amp;isNoScr=script&amp;mode=search",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236</v>
      </c>
      <c r="V1074" s="4" t="n">
        <v>276.2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959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50</v>
      </c>
      <c r="I1075" s="4" t="n">
        <v>0</v>
      </c>
      <c r="J1075" s="4" t="n">
        <v>0</v>
      </c>
      <c r="K1075" s="5" t="n">
        <v>0</v>
      </c>
      <c r="L1075" s="4" t="n">
        <v>24</v>
      </c>
      <c r="M1075" s="4" t="n">
        <v>7</v>
      </c>
      <c r="N1075" s="5" t="n">
        <v>7.1</v>
      </c>
      <c r="O1075" s="3" t="inlineStr">
        <is>
          <t>완벽 분리 ,깔끔한 신축 원룸 빠른입주 가능,주차 편리한 곳,강추매물</t>
        </is>
      </c>
      <c r="P1075" s="6">
        <f>HYPERLINK("https://fin.land.naver.com/articles/2654430167", "매물Link")</f>
        <v/>
      </c>
      <c r="Q1075" s="6">
        <f>HYPERLINK("https://map.naver.com/p/search/오송읍 봉산리 959", "지도Link")</f>
        <v/>
      </c>
      <c r="R1075" s="6">
        <f>HYPERLINK("http://www.eum.go.kr/web/ar/lu/luLandDet.jsp?pnu=4311325031109590000&amp;isNoScr=script&amp;mode=search",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960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51</v>
      </c>
      <c r="I1076" s="4" t="n">
        <v>0</v>
      </c>
      <c r="J1076" s="4" t="n">
        <v>0</v>
      </c>
      <c r="K1076" s="5" t="n">
        <v>0</v>
      </c>
      <c r="L1076" s="4" t="n">
        <v>23</v>
      </c>
      <c r="M1076" s="4" t="n">
        <v>7</v>
      </c>
      <c r="N1076" s="5" t="n">
        <v>7.3</v>
      </c>
      <c r="O1076" s="3" t="inlineStr">
        <is>
          <t>즉시입주 가능 완벽 분리형 원룸, 넓게 빠져 공간 활용도 좋아요</t>
        </is>
      </c>
      <c r="P1076" s="6">
        <f>HYPERLINK("https://fin.land.naver.com/articles/2654959899", "매물Link")</f>
        <v/>
      </c>
      <c r="Q1076" s="6">
        <f>HYPERLINK("https://map.naver.com/p/search/오송읍 봉산리 960", "지도Link")</f>
        <v/>
      </c>
      <c r="R1076" s="6">
        <f>HYPERLINK("http://www.eum.go.kr/web/ar/lu/luLandDet.jsp?pnu=4311325031109600000&amp;isNoScr=script&amp;mode=search", "토지이음")</f>
        <v/>
      </c>
      <c r="S1076" s="3" t="inlineStr">
        <is>
          <t>오송바이오창조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7.3</v>
      </c>
      <c r="O1077" s="3" t="inlineStr">
        <is>
          <t>첫입주,서두르면 좋은 호실 선택 가능</t>
        </is>
      </c>
      <c r="P1077" s="6">
        <f>HYPERLINK("https://fin.land.naver.com/articles/2656384055",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975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120000</v>
      </c>
      <c r="H1078" s="4" t="n">
        <v>0</v>
      </c>
      <c r="I1078" s="4" t="n">
        <v>273</v>
      </c>
      <c r="J1078" s="4" t="n">
        <v>83</v>
      </c>
      <c r="K1078" s="5" t="n">
        <v>1445.8</v>
      </c>
      <c r="L1078" s="4" t="n">
        <v>394</v>
      </c>
      <c r="M1078" s="4" t="n">
        <v>119</v>
      </c>
      <c r="N1078" s="5" t="n">
        <v>1008.4</v>
      </c>
      <c r="O1078" s="3" t="inlineStr">
        <is>
          <t>급매 오송역 도보거리 월 628만 수익가능</t>
        </is>
      </c>
      <c r="P1078" s="6">
        <f>HYPERLINK("https://fin.land.naver.com/articles/2656330729", "매물Link")</f>
        <v/>
      </c>
      <c r="Q1078" s="6">
        <f>HYPERLINK("https://map.naver.com/p/search/오송읍 봉산리 975", "지도Link")</f>
        <v/>
      </c>
      <c r="R1078" s="6">
        <f>HYPERLINK("http://www.eum.go.kr/web/ar/lu/luLandDet.jsp?pnu=4311325031109750000&amp;isNoScr=script&amp;mode=search", "토지이음")</f>
        <v/>
      </c>
      <c r="S1078" s="3" t="inlineStr">
        <is>
          <t>미래n</t>
        </is>
      </c>
      <c r="T1078" s="4" t="n">
        <v>1</v>
      </c>
      <c r="U1078" s="5" t="n">
        <v>205.7</v>
      </c>
      <c r="V1078" s="4" t="n">
        <v>271.3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현재 월 590만원 저렴한 수익형 상가주택</t>
        </is>
      </c>
      <c r="P1079" s="6">
        <f>HYPERLINK("https://fin.land.naver.com/articles/2655925510",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프렌즈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다가구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271</v>
      </c>
      <c r="J1080" s="4" t="n">
        <v>82</v>
      </c>
      <c r="K1080" s="5" t="n">
        <v>1463.4</v>
      </c>
      <c r="L1080" s="4" t="n">
        <v>394</v>
      </c>
      <c r="M1080" s="4" t="n">
        <v>119</v>
      </c>
      <c r="N1080" s="5" t="n">
        <v>1008.4</v>
      </c>
      <c r="O1080" s="3" t="inlineStr">
        <is>
          <t>추천매물 수익율 좋은 관리가 아주 잘된 건물 입니다</t>
        </is>
      </c>
      <c r="P1080" s="6">
        <f>HYPERLINK("https://fin.land.naver.com/articles/2654016226",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오송2단지창조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오송역세권. 미래가치상승기대. 신축예쁜건물</t>
        </is>
      </c>
      <c r="P1081" s="6">
        <f>HYPERLINK("https://fin.land.naver.com/articles/2651055949",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노른자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월세668. 전층임대완료. 매수즉시 월세 수익 발생.</t>
        </is>
      </c>
      <c r="P1082" s="6">
        <f>HYPERLINK("https://fin.land.naver.com/articles/2654054125",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프로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상봉리 176-1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매매</t>
        </is>
      </c>
      <c r="G1083" s="4" t="n">
        <v>40000</v>
      </c>
      <c r="H1083" s="4" t="n">
        <v>0</v>
      </c>
      <c r="I1083" s="4" t="n">
        <v>937</v>
      </c>
      <c r="J1083" s="4" t="n">
        <v>283</v>
      </c>
      <c r="K1083" s="5" t="n">
        <v>141.3</v>
      </c>
      <c r="L1083" s="4" t="n">
        <v>102</v>
      </c>
      <c r="M1083" s="4" t="n">
        <v>31</v>
      </c>
      <c r="N1083" s="5" t="n">
        <v>1290.3</v>
      </c>
      <c r="O1083" s="3" t="inlineStr">
        <is>
          <t>남향, 텃밭가꾸면서 전원생활 하실분 오세요. 행복이 깃든 집입니다.</t>
        </is>
      </c>
      <c r="P1083" s="6">
        <f>HYPERLINK("https://fin.land.naver.com/articles/2653283785", "매물Link")</f>
        <v/>
      </c>
      <c r="Q1083" s="6">
        <f>HYPERLINK("https://map.naver.com/p/search/오송읍 상봉리 176-1", "지도Link")</f>
        <v/>
      </c>
      <c r="R1083" s="6">
        <f>HYPERLINK("http://www.eum.go.kr/web/ar/lu/luLandDet.jsp?pnu=4311325033101760001&amp;isNoScr=script&amp;mode=search", "토지이음")</f>
        <v/>
      </c>
      <c r="S1083" s="3" t="inlineStr">
        <is>
          <t>세종공감</t>
        </is>
      </c>
      <c r="T1083" s="4" t="n">
        <v>1</v>
      </c>
      <c r="U1083" s="5" t="n">
        <v>63.6</v>
      </c>
      <c r="V1083" s="4" t="n">
        <v>941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상정리 729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65000</v>
      </c>
      <c r="H1084" s="4" t="n">
        <v>0</v>
      </c>
      <c r="I1084" s="4" t="n">
        <v>527</v>
      </c>
      <c r="J1084" s="4" t="n">
        <v>159</v>
      </c>
      <c r="K1084" s="5" t="n">
        <v>408.8</v>
      </c>
      <c r="L1084" s="4" t="n">
        <v>161</v>
      </c>
      <c r="M1084" s="4" t="n">
        <v>49</v>
      </c>
      <c r="N1084" s="5" t="n">
        <v>1326.5</v>
      </c>
      <c r="O1084" s="3" t="inlineStr">
        <is>
          <t>사계절 자연을 느끼며 여유로운 하루를 지낼수 있는 나만의 주거공간</t>
        </is>
      </c>
      <c r="P1084" s="6">
        <f>HYPERLINK("https://fin.land.naver.com/articles/2652109676", "매물Link")</f>
        <v/>
      </c>
      <c r="Q1084" s="6">
        <f>HYPERLINK("https://map.naver.com/p/search/오송읍 상정리 729", "지도Link")</f>
        <v/>
      </c>
      <c r="R1084" s="6">
        <f>HYPERLINK("http://www.eum.go.kr/web/ar/lu/luLandDet.jsp?pnu=4311325022107290000&amp;isNoScr=script&amp;mode=search", "토지이음")</f>
        <v/>
      </c>
      <c r="S1084" s="3" t="inlineStr">
        <is>
          <t>오송2단지창조</t>
        </is>
      </c>
      <c r="T1084" s="4" t="n">
        <v>1</v>
      </c>
      <c r="U1084" s="5" t="n">
        <v>80.09999999999999</v>
      </c>
      <c r="V1084" s="4" t="n">
        <v>527.2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완경사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상정리 740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매매</t>
        </is>
      </c>
      <c r="G1085" s="4" t="n">
        <v>70000</v>
      </c>
      <c r="H1085" s="4" t="n">
        <v>0</v>
      </c>
      <c r="I1085" s="4" t="n">
        <v>590</v>
      </c>
      <c r="J1085" s="4" t="n">
        <v>178</v>
      </c>
      <c r="K1085" s="5" t="n">
        <v>393.3</v>
      </c>
      <c r="L1085" s="4" t="n">
        <v>147</v>
      </c>
      <c r="M1085" s="4" t="n">
        <v>44</v>
      </c>
      <c r="N1085" s="5" t="n">
        <v>1590.9</v>
      </c>
      <c r="O1085" s="3" t="inlineStr">
        <is>
          <t>튼튼한 벽돌집, 주택단지, 깔끔하고 넓고 해 잘드는 집</t>
        </is>
      </c>
      <c r="P1085" s="6">
        <f>HYPERLINK("https://fin.land.naver.com/articles/2656241840", "매물Link")</f>
        <v/>
      </c>
      <c r="Q1085" s="6">
        <f>HYPERLINK("https://map.naver.com/p/search/오송읍 상정리 740", "지도Link")</f>
        <v/>
      </c>
      <c r="R1085" s="6">
        <f>HYPERLINK("http://www.eum.go.kr/web/ar/lu/luLandDet.jsp?pnu=4311325022107400000&amp;isNoScr=script&amp;mode=search",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80.09999999999999</v>
      </c>
      <c r="V1085" s="4" t="n">
        <v>590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가로장방</t>
        </is>
      </c>
      <c r="AA1085" s="3" t="inlineStr">
        <is>
          <t>세로한면(가)</t>
        </is>
      </c>
    </row>
    <row r="1086">
      <c r="A1086" s="3" t="inlineStr">
        <is>
          <t>오송읍 상정리 89-3</t>
        </is>
      </c>
      <c r="B1086" s="3" t="inlineStr">
        <is>
          <t>생산관리지역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25000</v>
      </c>
      <c r="H1086" s="4" t="n">
        <v>0</v>
      </c>
      <c r="I1086" s="4" t="n">
        <v>494</v>
      </c>
      <c r="J1086" s="4" t="n">
        <v>149</v>
      </c>
      <c r="K1086" s="5" t="n">
        <v>167.8</v>
      </c>
      <c r="L1086" s="4" t="n">
        <v>84</v>
      </c>
      <c r="M1086" s="4" t="n">
        <v>25</v>
      </c>
      <c r="N1086" s="5" t="n">
        <v>1000</v>
      </c>
      <c r="O1086" s="3" t="inlineStr">
        <is>
          <t>마당이 있는 햇살담은 주택, 협의 입주 가능한 세대입니다</t>
        </is>
      </c>
      <c r="P1086" s="6">
        <f>HYPERLINK("https://fin.land.naver.com/articles/2652265350", "매물Link")</f>
        <v/>
      </c>
      <c r="Q1086" s="6">
        <f>HYPERLINK("https://map.naver.com/p/search/오송읍 상정리 89-3", "지도Link")</f>
        <v/>
      </c>
      <c r="R1086" s="6">
        <f>HYPERLINK("http://www.eum.go.kr/web/ar/lu/luLandDet.jsp?pnu=4311325022100890003&amp;isNoScr=script&amp;mode=search", "토지이음")</f>
        <v/>
      </c>
      <c r="S1086" s="3" t="inlineStr">
        <is>
          <t>오송2단지창조</t>
        </is>
      </c>
      <c r="T1086" s="4" t="n">
        <v>1</v>
      </c>
      <c r="U1086" s="5" t="n">
        <v>72.7</v>
      </c>
      <c r="V1086" s="4" t="n">
        <v>494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부정형</t>
        </is>
      </c>
      <c r="AA1086" s="3" t="inlineStr">
        <is>
          <t>세로한면(가)</t>
        </is>
      </c>
    </row>
    <row r="1087">
      <c r="A1087" s="3" t="inlineStr">
        <is>
          <t>오송읍 서평리 373-11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20000</v>
      </c>
      <c r="H1087" s="4" t="n">
        <v>0</v>
      </c>
      <c r="I1087" s="4" t="n">
        <v>314</v>
      </c>
      <c r="J1087" s="4" t="n">
        <v>95</v>
      </c>
      <c r="K1087" s="5" t="n">
        <v>210.5</v>
      </c>
      <c r="L1087" s="4" t="n">
        <v>134</v>
      </c>
      <c r="M1087" s="4" t="n">
        <v>41</v>
      </c>
      <c r="N1087" s="5" t="n">
        <v>487.8</v>
      </c>
      <c r="O1087" s="3" t="inlineStr">
        <is>
          <t>아담한 시골집, 수리해야 함.관리하기 적절한 사이즈.</t>
        </is>
      </c>
      <c r="P1087" s="6">
        <f>HYPERLINK("https://fin.land.naver.com/articles/2652711509", "매물Link")</f>
        <v/>
      </c>
      <c r="Q1087" s="6">
        <f>HYPERLINK("https://map.naver.com/p/search/오송읍 서평리 373-11", "지도Link")</f>
        <v/>
      </c>
      <c r="R1087" s="6">
        <f>HYPERLINK("http://www.eum.go.kr/web/ar/lu/luLandDet.jsp?pnu=4311325030103730011&amp;isNoScr=script&amp;mode=search", "토지이음")</f>
        <v/>
      </c>
      <c r="S1087" s="3" t="inlineStr">
        <is>
          <t>동남이지</t>
        </is>
      </c>
      <c r="T1087" s="4" t="n">
        <v>1</v>
      </c>
      <c r="U1087" s="5" t="n">
        <v>101.7</v>
      </c>
      <c r="V1087" s="4" t="n">
        <v>314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서평리 594-1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13000</v>
      </c>
      <c r="H1088" s="4" t="n">
        <v>0</v>
      </c>
      <c r="I1088" s="4" t="n">
        <v>119</v>
      </c>
      <c r="J1088" s="4" t="n">
        <v>36</v>
      </c>
      <c r="K1088" s="5" t="n">
        <v>361.1</v>
      </c>
      <c r="L1088" s="4" t="n">
        <v>67</v>
      </c>
      <c r="M1088" s="4" t="n">
        <v>20</v>
      </c>
      <c r="N1088" s="5" t="n">
        <v>650</v>
      </c>
      <c r="O1088" s="3" t="inlineStr">
        <is>
          <t>오송자동차극장인근 단층주택 내부샷시포함 수리되어깨끗해요</t>
        </is>
      </c>
      <c r="P1088" s="6">
        <f>HYPERLINK("https://fin.land.naver.com/articles/2654755268", "매물Link")</f>
        <v/>
      </c>
      <c r="Q1088" s="6">
        <f>HYPERLINK("https://map.naver.com/p/search/오송읍 서평리 594-1", "지도Link")</f>
        <v/>
      </c>
      <c r="R1088" s="6">
        <f>HYPERLINK("http://www.eum.go.kr/web/ar/lu/luLandDet.jsp?pnu=4311325030105940001&amp;isNoScr=script&amp;mode=search", "토지이음")</f>
        <v/>
      </c>
      <c r="S1088" s="3" t="inlineStr">
        <is>
          <t>베스트</t>
        </is>
      </c>
      <c r="T1088" s="4" t="n">
        <v>1</v>
      </c>
      <c r="U1088" s="5" t="n">
        <v>65</v>
      </c>
      <c r="V1088" s="4" t="n">
        <v>119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부정형</t>
        </is>
      </c>
      <c r="AA1088" s="3" t="inlineStr">
        <is>
          <t>세로한면(불)</t>
        </is>
      </c>
    </row>
    <row r="1089">
      <c r="A1089" s="3" t="inlineStr">
        <is>
          <t>오송읍 쌍청리 108-22</t>
        </is>
      </c>
      <c r="B1089" s="3" t="inlineStr">
        <is>
          <t>계획관리지역</t>
        </is>
      </c>
      <c r="C1089" s="3" t="inlineStr">
        <is>
          <t>공장용지</t>
        </is>
      </c>
      <c r="D1089" s="3" t="inlineStr">
        <is>
          <t>3</t>
        </is>
      </c>
      <c r="E1089" s="3" t="inlineStr">
        <is>
          <t>빌라</t>
        </is>
      </c>
      <c r="F1089" s="3" t="inlineStr">
        <is>
          <t>매매</t>
        </is>
      </c>
      <c r="G1089" s="4" t="n">
        <v>15000</v>
      </c>
      <c r="H1089" s="4" t="n">
        <v>0</v>
      </c>
      <c r="I1089" s="4" t="n">
        <v>81</v>
      </c>
      <c r="J1089" s="4" t="n">
        <v>25</v>
      </c>
      <c r="K1089" s="5" t="n">
        <v>600</v>
      </c>
      <c r="L1089" s="4" t="n">
        <v>59</v>
      </c>
      <c r="M1089" s="4" t="n">
        <v>18</v>
      </c>
      <c r="N1089" s="5" t="n">
        <v>833.3</v>
      </c>
      <c r="O1089" s="3" t="inlineStr">
        <is>
          <t>오송역 7분 오송생명단지 옆 도심속 조용하고 깨끗한 전원주택형 빌라</t>
        </is>
      </c>
      <c r="P1089" s="6">
        <f>HYPERLINK("https://fin.land.naver.com/articles/2654416226", "매물Link")</f>
        <v/>
      </c>
      <c r="Q1089" s="6">
        <f>HYPERLINK("https://map.naver.com/p/search/오송읍 쌍청리 108-22", "지도Link")</f>
        <v/>
      </c>
      <c r="R1089" s="6">
        <f>HYPERLINK("http://www.eum.go.kr/web/ar/lu/luLandDet.jsp?pnu=4311325024101080022&amp;isNoScr=script&amp;mode=search", "토지이음")</f>
        <v/>
      </c>
      <c r="S1089" s="3" t="inlineStr">
        <is>
          <t>아임</t>
        </is>
      </c>
      <c r="T1089" s="4" t="n">
        <v>1</v>
      </c>
      <c r="U1089" s="5" t="n">
        <v>83.2</v>
      </c>
      <c r="V1089" s="4" t="n">
        <v>2075</v>
      </c>
      <c r="W1089" s="3" t="inlineStr">
        <is>
          <t>지정되지않음</t>
        </is>
      </c>
      <c r="X1089" s="3" t="inlineStr">
        <is>
          <t>연립</t>
        </is>
      </c>
      <c r="Y1089" s="3" t="inlineStr">
        <is>
          <t>완경사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쌍청리 108-43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82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예당마을 소형 빌라</t>
        </is>
      </c>
      <c r="P1090" s="6">
        <f>HYPERLINK("https://fin.land.naver.com/articles/2652189221", "매물Link")</f>
        <v/>
      </c>
      <c r="Q1090" s="6">
        <f>HYPERLINK("https://map.naver.com/p/search/오송읍 쌍청리 108-43", "지도Link")</f>
        <v/>
      </c>
      <c r="R1090" s="6">
        <f>HYPERLINK("http://www.eum.go.kr/web/ar/lu/luLandDet.jsp?pnu=4311325024101080043&amp;isNoScr=script&amp;mode=search", "토지이음")</f>
        <v/>
      </c>
      <c r="S1090" s="3" t="inlineStr">
        <is>
          <t>연주영</t>
        </is>
      </c>
      <c r="T1090" s="4" t="n">
        <v>1</v>
      </c>
      <c r="U1090" s="5" t="n">
        <v>83.2</v>
      </c>
      <c r="V1090" s="4" t="n">
        <v>2063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440-7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84000</v>
      </c>
      <c r="H1091" s="4" t="n">
        <v>0</v>
      </c>
      <c r="I1091" s="4" t="n">
        <v>722</v>
      </c>
      <c r="J1091" s="4" t="n">
        <v>218</v>
      </c>
      <c r="K1091" s="5" t="n">
        <v>385.3</v>
      </c>
      <c r="L1091" s="4" t="n">
        <v>169</v>
      </c>
      <c r="M1091" s="4" t="n">
        <v>51</v>
      </c>
      <c r="N1091" s="5" t="n">
        <v>1647.1</v>
      </c>
      <c r="O1091" s="3" t="inlineStr">
        <is>
          <t>총2필지매매 구옥이지만 집관리잘됨.</t>
        </is>
      </c>
      <c r="P1091" s="6">
        <f>HYPERLINK("https://fin.land.naver.com/articles/2654014410", "매물Link")</f>
        <v/>
      </c>
      <c r="Q1091" s="6">
        <f>HYPERLINK("https://map.naver.com/p/search/오송읍 쌍청리 440-7", "지도Link")</f>
        <v/>
      </c>
      <c r="R1091" s="6">
        <f>HYPERLINK("http://www.eum.go.kr/web/ar/lu/luLandDet.jsp?pnu=4311325024104400007&amp;isNoScr=script&amp;mode=search", "토지이음")</f>
        <v/>
      </c>
      <c r="S1091" s="3" t="inlineStr">
        <is>
          <t>오송올래</t>
        </is>
      </c>
      <c r="T1091" s="4" t="n">
        <v>1</v>
      </c>
      <c r="U1091" s="5" t="n">
        <v>86.90000000000001</v>
      </c>
      <c r="V1091" s="4" t="n">
        <v>382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382</v>
      </c>
      <c r="J1092" s="4" t="n">
        <v>116</v>
      </c>
      <c r="K1092" s="5" t="n">
        <v>724.1</v>
      </c>
      <c r="L1092" s="4" t="n">
        <v>109</v>
      </c>
      <c r="M1092" s="4" t="n">
        <v>33</v>
      </c>
      <c r="N1092" s="5" t="n">
        <v>2545.5</v>
      </c>
      <c r="O1092" s="3" t="inlineStr">
        <is>
          <t>마당에 예쁜 꽃들이 만발하는 단독주택 여러 가족이 함께 별도공간 거주가능</t>
        </is>
      </c>
      <c r="P1092" s="6">
        <f>HYPERLINK("https://fin.land.naver.com/articles/2654595676",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연제리 405-7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400</v>
      </c>
      <c r="H1093" s="4" t="n">
        <v>31</v>
      </c>
      <c r="I1093" s="4" t="n">
        <v>0</v>
      </c>
      <c r="J1093" s="4" t="n">
        <v>0</v>
      </c>
      <c r="K1093" s="5" t="n">
        <v>0</v>
      </c>
      <c r="L1093" s="4" t="n">
        <v>33</v>
      </c>
      <c r="M1093" s="4" t="n">
        <v>10</v>
      </c>
      <c r="N1093" s="5" t="n">
        <v>3.1</v>
      </c>
      <c r="O1093" s="3" t="inlineStr">
        <is>
          <t>저렴한 가격으로 전원생활 , 반려동물가능</t>
        </is>
      </c>
      <c r="P1093" s="6">
        <f>HYPERLINK("https://fin.land.naver.com/articles/2653248236", "매물Link")</f>
        <v/>
      </c>
      <c r="Q1093" s="6">
        <f>HYPERLINK("https://map.naver.com/p/search/오송읍 연제리 405-7", "지도Link")</f>
        <v/>
      </c>
      <c r="R1093" s="6">
        <f>HYPERLINK("http://www.eum.go.kr/web/ar/lu/luLandDet.jsp?pnu=4311325026104050007&amp;isNoScr=script&amp;mode=search", "토지이음")</f>
        <v/>
      </c>
      <c r="S1093" s="3" t="inlineStr">
        <is>
          <t>프로</t>
        </is>
      </c>
      <c r="T1093" s="4" t="n">
        <v>1</v>
      </c>
      <c r="U1093" s="5" t="n">
        <v>124.4</v>
      </c>
      <c r="V1093" s="4" t="n">
        <v>359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30</v>
      </c>
      <c r="I1094" s="4" t="n">
        <v>44</v>
      </c>
      <c r="J1094" s="4" t="n">
        <v>13</v>
      </c>
      <c r="K1094" s="5" t="n">
        <v>2.3</v>
      </c>
      <c r="L1094" s="4" t="n">
        <v>44</v>
      </c>
      <c r="M1094" s="4" t="n">
        <v>13</v>
      </c>
      <c r="N1094" s="5" t="n">
        <v>2.3</v>
      </c>
      <c r="O1094" s="3" t="inlineStr">
        <is>
          <t>nan</t>
        </is>
      </c>
      <c r="P1094" s="6">
        <f>HYPERLINK("https://fin.land.naver.com/articles/2653471936",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하림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410-17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300</v>
      </c>
      <c r="H1096" s="4" t="n">
        <v>45</v>
      </c>
      <c r="I1096" s="4" t="n">
        <v>33</v>
      </c>
      <c r="J1096" s="4" t="n">
        <v>10</v>
      </c>
      <c r="K1096" s="5" t="n">
        <v>4.5</v>
      </c>
      <c r="L1096" s="4" t="n">
        <v>33</v>
      </c>
      <c r="M1096" s="4" t="n">
        <v>10</v>
      </c>
      <c r="N1096" s="5" t="n">
        <v>4.5</v>
      </c>
      <c r="O1096" s="3" t="inlineStr">
        <is>
          <t>nan</t>
        </is>
      </c>
      <c r="P1096" s="6">
        <f>HYPERLINK("https://fin.land.naver.com/articles/2655605524", "매물Link")</f>
        <v/>
      </c>
      <c r="Q1096" s="6">
        <f>HYPERLINK("https://map.naver.com/p/search/오송읍 연제리 410-17", "지도Link")</f>
        <v/>
      </c>
      <c r="R1096" s="6">
        <f>HYPERLINK("http://www.eum.go.kr/web/ar/lu/luLandDet.jsp?pnu=4311325026104100017&amp;isNoScr=script&amp;mode=search", "토지이음")</f>
        <v/>
      </c>
      <c r="S1096" s="3" t="inlineStr">
        <is>
          <t>뉴오송현대</t>
        </is>
      </c>
      <c r="T1096" s="4" t="n">
        <v>1</v>
      </c>
      <c r="U1096" s="5" t="n">
        <v>140.6</v>
      </c>
      <c r="V1096" s="4" t="n">
        <v>146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세로한면(가)</t>
        </is>
      </c>
    </row>
    <row r="1097">
      <c r="A1097" s="3" t="inlineStr">
        <is>
          <t>오송읍 연제리 444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21</v>
      </c>
      <c r="I1097" s="4" t="n">
        <v>0</v>
      </c>
      <c r="J1097" s="4" t="n">
        <v>0</v>
      </c>
      <c r="K1097" s="5" t="n">
        <v>0</v>
      </c>
      <c r="L1097" s="4" t="n">
        <v>21</v>
      </c>
      <c r="M1097" s="4" t="n">
        <v>6</v>
      </c>
      <c r="N1097" s="5" t="n">
        <v>3.5</v>
      </c>
      <c r="O1097" s="3" t="inlineStr">
        <is>
          <t>가성비 원룸, 10월초 입주가능</t>
        </is>
      </c>
      <c r="P1097" s="6">
        <f>HYPERLINK("https://fin.land.naver.com/articles/2653379976", "매물Link")</f>
        <v/>
      </c>
      <c r="Q1097" s="6">
        <f>HYPERLINK("https://map.naver.com/p/search/오송읍 연제리 444", "지도Link")</f>
        <v/>
      </c>
      <c r="R1097" s="6">
        <f>HYPERLINK("http://www.eum.go.kr/web/ar/lu/luLandDet.jsp?pnu=4311325026104440000&amp;isNoScr=script&amp;mode=search",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169.4</v>
      </c>
      <c r="V1097" s="4" t="n">
        <v>831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완경사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연제리 503-10</t>
        </is>
      </c>
      <c r="B1098" s="3" t="inlineStr">
        <is>
          <t>농림지역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전원주택</t>
        </is>
      </c>
      <c r="F1098" s="3" t="inlineStr">
        <is>
          <t>매매</t>
        </is>
      </c>
      <c r="G1098" s="4" t="n">
        <v>24000</v>
      </c>
      <c r="H1098" s="4" t="n">
        <v>0</v>
      </c>
      <c r="I1098" s="4" t="n">
        <v>158</v>
      </c>
      <c r="J1098" s="4" t="n">
        <v>48</v>
      </c>
      <c r="K1098" s="5" t="n">
        <v>500</v>
      </c>
      <c r="L1098" s="4" t="n">
        <v>31</v>
      </c>
      <c r="M1098" s="4" t="n">
        <v>9</v>
      </c>
      <c r="N1098" s="5" t="n">
        <v>2666.7</v>
      </c>
      <c r="O1098" s="3" t="inlineStr">
        <is>
          <t>오송역10분,1,2산단차량10분,호수공원5분, 철도클러스트부지,투자최적</t>
        </is>
      </c>
      <c r="P1098" s="6">
        <f>HYPERLINK("https://fin.land.naver.com/articles/2655194734", "매물Link")</f>
        <v/>
      </c>
      <c r="Q1098" s="6">
        <f>HYPERLINK("https://map.naver.com/p/search/오송읍 연제리 503-10", "지도Link")</f>
        <v/>
      </c>
      <c r="R1098" s="6">
        <f>HYPERLINK("http://www.eum.go.kr/web/ar/lu/luLandDet.jsp?pnu=4311325026105030010&amp;isNoScr=script&amp;mode=search", "토지이음")</f>
        <v/>
      </c>
      <c r="S1098" s="3" t="inlineStr">
        <is>
          <t>오송메카</t>
        </is>
      </c>
      <c r="T1098" s="4" t="n">
        <v>1</v>
      </c>
      <c r="U1098" s="5" t="n">
        <v>70.5</v>
      </c>
      <c r="V1098" s="4" t="n">
        <v>158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세로한면(불)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529-1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상가주택</t>
        </is>
      </c>
      <c r="F1100" s="3" t="inlineStr">
        <is>
          <t>매매</t>
        </is>
      </c>
      <c r="G1100" s="4" t="n">
        <v>45000</v>
      </c>
      <c r="H1100" s="4" t="n">
        <v>0</v>
      </c>
      <c r="I1100" s="4" t="n">
        <v>435</v>
      </c>
      <c r="J1100" s="4" t="n">
        <v>132</v>
      </c>
      <c r="K1100" s="5" t="n">
        <v>340.9</v>
      </c>
      <c r="L1100" s="4" t="n">
        <v>82</v>
      </c>
      <c r="M1100" s="4" t="n">
        <v>25</v>
      </c>
      <c r="N1100" s="5" t="n">
        <v>1800</v>
      </c>
      <c r="O1100" s="3" t="inlineStr">
        <is>
          <t>nan</t>
        </is>
      </c>
      <c r="P1100" s="6">
        <f>HYPERLINK("https://fin.land.naver.com/articles/2656242773", "매물Link")</f>
        <v/>
      </c>
      <c r="Q1100" s="6">
        <f>HYPERLINK("https://map.naver.com/p/search/오송읍 연제리 529-1", "지도Link")</f>
        <v/>
      </c>
      <c r="R1100" s="6">
        <f>HYPERLINK("http://www.eum.go.kr/web/ar/lu/luLandDet.jsp?pnu=4311325026105290001&amp;isNoScr=script&amp;mode=search",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124.3</v>
      </c>
      <c r="V1100" s="4" t="n">
        <v>435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세로각지(가)</t>
        </is>
      </c>
    </row>
    <row r="1101">
      <c r="A1101" s="3" t="inlineStr">
        <is>
          <t>오송읍 연제리 539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55000</v>
      </c>
      <c r="H1101" s="4" t="n">
        <v>0</v>
      </c>
      <c r="I1101" s="4" t="n">
        <v>468</v>
      </c>
      <c r="J1101" s="4" t="n">
        <v>142</v>
      </c>
      <c r="K1101" s="5" t="n">
        <v>387.3</v>
      </c>
      <c r="L1101" s="4" t="n">
        <v>56</v>
      </c>
      <c r="M1101" s="4" t="n">
        <v>17</v>
      </c>
      <c r="N1101" s="5" t="n">
        <v>3235.3</v>
      </c>
      <c r="O1101" s="3" t="inlineStr">
        <is>
          <t>호수공원 인접 소형 단독주택</t>
        </is>
      </c>
      <c r="P1101" s="6">
        <f>HYPERLINK("https://fin.land.naver.com/articles/2654970193", "매물Link")</f>
        <v/>
      </c>
      <c r="Q1101" s="6">
        <f>HYPERLINK("https://map.naver.com/p/search/오송읍 연제리 539", "지도Link")</f>
        <v/>
      </c>
      <c r="R1101" s="6">
        <f>HYPERLINK("http://www.eum.go.kr/web/ar/lu/luLandDet.jsp?pnu=4311325026105390000&amp;isNoScr=script&amp;mode=search", "토지이음")</f>
        <v/>
      </c>
      <c r="S1101" s="3" t="inlineStr">
        <is>
          <t>광장</t>
        </is>
      </c>
      <c r="T1101" s="4" t="n">
        <v>1</v>
      </c>
      <c r="U1101" s="5" t="n">
        <v>115.7</v>
      </c>
      <c r="V1101" s="4" t="n">
        <v>493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부정형</t>
        </is>
      </c>
      <c r="AA1101" s="3" t="inlineStr">
        <is>
          <t>세로각지(가)</t>
        </is>
      </c>
    </row>
    <row r="1102">
      <c r="A1102" s="3" t="inlineStr">
        <is>
          <t>오송읍 연제리 745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85000</v>
      </c>
      <c r="H1102" s="4" t="n">
        <v>0</v>
      </c>
      <c r="I1102" s="4" t="n">
        <v>239</v>
      </c>
      <c r="J1102" s="4" t="n">
        <v>72</v>
      </c>
      <c r="K1102" s="5" t="n">
        <v>1180.6</v>
      </c>
      <c r="L1102" s="4" t="n">
        <v>344</v>
      </c>
      <c r="M1102" s="4" t="n">
        <v>104</v>
      </c>
      <c r="N1102" s="5" t="n">
        <v>817.3</v>
      </c>
      <c r="O1102" s="3" t="inlineStr">
        <is>
          <t>오송1산단 수익률 높은 준신축 다가구</t>
        </is>
      </c>
      <c r="P1102" s="6">
        <f>HYPERLINK("https://fin.land.naver.com/articles/2656355413", "매물Link")</f>
        <v/>
      </c>
      <c r="Q1102" s="6">
        <f>HYPERLINK("https://map.naver.com/p/search/오송읍 연제리 745", "지도Link")</f>
        <v/>
      </c>
      <c r="R1102" s="6">
        <f>HYPERLINK("http://www.eum.go.kr/web/ar/lu/luLandDet.jsp?pnu=4311325026107450000&amp;isNoScr=script&amp;mode=search",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227</v>
      </c>
      <c r="V1102" s="4" t="n">
        <v>239.2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연제리 758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75000</v>
      </c>
      <c r="H1103" s="4" t="n">
        <v>0</v>
      </c>
      <c r="I1103" s="4" t="n">
        <v>274</v>
      </c>
      <c r="J1103" s="4" t="n">
        <v>83</v>
      </c>
      <c r="K1103" s="5" t="n">
        <v>903.6</v>
      </c>
      <c r="L1103" s="4" t="n">
        <v>401</v>
      </c>
      <c r="M1103" s="4" t="n">
        <v>121</v>
      </c>
      <c r="N1103" s="5" t="n">
        <v>619.8</v>
      </c>
      <c r="O1103" s="3" t="inlineStr">
        <is>
          <t>호수공원초근접 코너변위치.카이스트등 호재.주인세대 없는매물.</t>
        </is>
      </c>
      <c r="P1103" s="6">
        <f>HYPERLINK("https://fin.land.naver.com/articles/2655194010", "매물Link")</f>
        <v/>
      </c>
      <c r="Q1103" s="6">
        <f>HYPERLINK("https://map.naver.com/p/search/오송읍 연제리 758", "지도Link")</f>
        <v/>
      </c>
      <c r="R1103" s="6">
        <f>HYPERLINK("http://www.eum.go.kr/web/ar/lu/luLandDet.jsp?pnu=4311325026107580000&amp;isNoScr=script&amp;mode=search",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274.9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764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상가주택</t>
        </is>
      </c>
      <c r="F1105" s="3" t="inlineStr">
        <is>
          <t>매매</t>
        </is>
      </c>
      <c r="G1105" s="4" t="n">
        <v>73000</v>
      </c>
      <c r="H1105" s="4" t="n">
        <v>0</v>
      </c>
      <c r="I1105" s="4" t="n">
        <v>242</v>
      </c>
      <c r="J1105" s="4" t="n">
        <v>73</v>
      </c>
      <c r="K1105" s="5" t="n">
        <v>1000</v>
      </c>
      <c r="L1105" s="4" t="n">
        <v>348</v>
      </c>
      <c r="M1105" s="4" t="n">
        <v>105</v>
      </c>
      <c r="N1105" s="5" t="n">
        <v>695.2</v>
      </c>
      <c r="O1105" s="3" t="inlineStr">
        <is>
          <t>먹자 골목에 위치한 아파트 앞에 상가주택</t>
        </is>
      </c>
      <c r="P1105" s="6">
        <f>HYPERLINK("https://fin.land.naver.com/articles/2651950527", "매물Link")</f>
        <v/>
      </c>
      <c r="Q1105" s="6">
        <f>HYPERLINK("https://map.naver.com/p/search/오송읍 연제리 764", "지도Link")</f>
        <v/>
      </c>
      <c r="R1105" s="6">
        <f>HYPERLINK("http://www.eum.go.kr/web/ar/lu/luLandDet.jsp?pnu=4311325026107640000&amp;isNoScr=script&amp;mode=search", "토지이음")</f>
        <v/>
      </c>
      <c r="S1105" s="3" t="inlineStr">
        <is>
          <t>아시아</t>
        </is>
      </c>
      <c r="T1105" s="4" t="n">
        <v>1</v>
      </c>
      <c r="U1105" s="5" t="n">
        <v>277.4</v>
      </c>
      <c r="V1105" s="4" t="n">
        <v>242.8</v>
      </c>
      <c r="W1105" s="3" t="inlineStr">
        <is>
          <t>지정되지않음</t>
        </is>
      </c>
      <c r="X1105" s="3" t="inlineStr">
        <is>
          <t>주상용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중로한면</t>
        </is>
      </c>
    </row>
    <row r="1106">
      <c r="A1106" s="3" t="inlineStr">
        <is>
          <t>오송읍 연제리 768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31</v>
      </c>
      <c r="I1106" s="4" t="n">
        <v>24</v>
      </c>
      <c r="J1106" s="4" t="n">
        <v>7</v>
      </c>
      <c r="K1106" s="5" t="n">
        <v>4.4</v>
      </c>
      <c r="L1106" s="4" t="n">
        <v>24</v>
      </c>
      <c r="M1106" s="4" t="n">
        <v>7</v>
      </c>
      <c r="N1106" s="5" t="n">
        <v>4.4</v>
      </c>
      <c r="O1106" s="3" t="inlineStr">
        <is>
          <t>깔끔하고 조용한 원룸,단기가능요</t>
        </is>
      </c>
      <c r="P1106" s="6">
        <f>HYPERLINK("https://fin.land.naver.com/articles/2654207637", "매물Link")</f>
        <v/>
      </c>
      <c r="Q1106" s="6">
        <f>HYPERLINK("https://map.naver.com/p/search/오송읍 연제리 768", "지도Link")</f>
        <v/>
      </c>
      <c r="R1106" s="6">
        <f>HYPERLINK("http://www.eum.go.kr/web/ar/lu/luLandDet.jsp?pnu=4311325026107680000&amp;isNoScr=script&amp;mode=search", "토지이음")</f>
        <v/>
      </c>
      <c r="S1106" s="3" t="inlineStr">
        <is>
          <t>오송조은</t>
        </is>
      </c>
      <c r="T1106" s="4" t="n">
        <v>1</v>
      </c>
      <c r="U1106" s="5" t="n">
        <v>229.4</v>
      </c>
      <c r="V1106" s="4" t="n">
        <v>281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정방형</t>
        </is>
      </c>
      <c r="AA1106" s="3" t="inlineStr">
        <is>
          <t>소로한면</t>
        </is>
      </c>
    </row>
    <row r="1107">
      <c r="A1107" s="3" t="inlineStr">
        <is>
          <t>오송읍 연제리 770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단독</t>
        </is>
      </c>
      <c r="F1107" s="3" t="inlineStr">
        <is>
          <t>매매</t>
        </is>
      </c>
      <c r="G1107" s="4" t="n">
        <v>80000</v>
      </c>
      <c r="H1107" s="4" t="n">
        <v>0</v>
      </c>
      <c r="I1107" s="4" t="n">
        <v>325</v>
      </c>
      <c r="J1107" s="4" t="n">
        <v>98</v>
      </c>
      <c r="K1107" s="5" t="n">
        <v>816.3</v>
      </c>
      <c r="L1107" s="4" t="n">
        <v>446</v>
      </c>
      <c r="M1107" s="4" t="n">
        <v>135</v>
      </c>
      <c r="N1107" s="5" t="n">
        <v>592.6</v>
      </c>
      <c r="O1107" s="3" t="inlineStr">
        <is>
          <t>오송역세권. 호수공원인근으로 생활권 편리</t>
        </is>
      </c>
      <c r="P1107" s="6">
        <f>HYPERLINK("https://fin.land.naver.com/articles/2651065703", "매물Link")</f>
        <v/>
      </c>
      <c r="Q1107" s="6">
        <f>HYPERLINK("https://map.naver.com/p/search/오송읍 연제리 770", "지도Link")</f>
        <v/>
      </c>
      <c r="R1107" s="6">
        <f>HYPERLINK("http://www.eum.go.kr/web/ar/lu/luLandDet.jsp?pnu=4311325026107700000&amp;isNoScr=script&amp;mode=search", "토지이음")</f>
        <v/>
      </c>
      <c r="S1107" s="3" t="inlineStr">
        <is>
          <t>노른자</t>
        </is>
      </c>
      <c r="T1107" s="4" t="n">
        <v>1</v>
      </c>
      <c r="U1107" s="5" t="n">
        <v>227</v>
      </c>
      <c r="V1107" s="4" t="n">
        <v>325.7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연제리 770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단독</t>
        </is>
      </c>
      <c r="F1108" s="3" t="inlineStr">
        <is>
          <t>매매</t>
        </is>
      </c>
      <c r="G1108" s="4" t="n">
        <v>83000</v>
      </c>
      <c r="H1108" s="4" t="n">
        <v>0</v>
      </c>
      <c r="I1108" s="4" t="n">
        <v>325</v>
      </c>
      <c r="J1108" s="4" t="n">
        <v>98</v>
      </c>
      <c r="K1108" s="5" t="n">
        <v>846.9</v>
      </c>
      <c r="L1108" s="4" t="n">
        <v>446</v>
      </c>
      <c r="M1108" s="4" t="n">
        <v>135</v>
      </c>
      <c r="N1108" s="5" t="n">
        <v>614.8</v>
      </c>
      <c r="O1108" s="3" t="inlineStr">
        <is>
          <t>급매, 신축급 큰 상가주택, 오송역도보권, 호수공원 코앞</t>
        </is>
      </c>
      <c r="P1108" s="6">
        <f>HYPERLINK("https://fin.land.naver.com/articles/2653995909", "매물Link")</f>
        <v/>
      </c>
      <c r="Q1108" s="6">
        <f>HYPERLINK("https://map.naver.com/p/search/오송읍 연제리 770", "지도Link")</f>
        <v/>
      </c>
      <c r="R1108" s="6">
        <f>HYPERLINK("http://www.eum.go.kr/web/ar/lu/luLandDet.jsp?pnu=4311325026107700000&amp;isNoScr=script&amp;mode=search",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227</v>
      </c>
      <c r="V1108" s="4" t="n">
        <v>325.7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연제리 780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100000</v>
      </c>
      <c r="H1109" s="4" t="n">
        <v>0</v>
      </c>
      <c r="I1109" s="4" t="n">
        <v>292</v>
      </c>
      <c r="J1109" s="4" t="n">
        <v>88</v>
      </c>
      <c r="K1109" s="5" t="n">
        <v>1136.4</v>
      </c>
      <c r="L1109" s="4" t="n">
        <v>437</v>
      </c>
      <c r="M1109" s="4" t="n">
        <v>132</v>
      </c>
      <c r="N1109" s="5" t="n">
        <v>757.6</v>
      </c>
      <c r="O1109" s="3" t="inlineStr">
        <is>
          <t>nan</t>
        </is>
      </c>
      <c r="P1109" s="6">
        <f>HYPERLINK("https://fin.land.naver.com/articles/2654594983", "매물Link")</f>
        <v/>
      </c>
      <c r="Q1109" s="6">
        <f>HYPERLINK("https://map.naver.com/p/search/오송읍 연제리 780", "지도Link")</f>
        <v/>
      </c>
      <c r="R1109" s="6">
        <f>HYPERLINK("http://www.eum.go.kr/web/ar/lu/luLandDet.jsp?pnu=4311325026107800000&amp;isNoScr=script&amp;mode=search", "토지이음")</f>
        <v/>
      </c>
      <c r="S1109" s="3" t="inlineStr">
        <is>
          <t>포유사사무소</t>
        </is>
      </c>
      <c r="T1109" s="4" t="n">
        <v>1</v>
      </c>
      <c r="U1109" s="5" t="n">
        <v>308.1</v>
      </c>
      <c r="V1109" s="4" t="n">
        <v>292.7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중로각지</t>
        </is>
      </c>
    </row>
    <row r="1110">
      <c r="A1110" s="3" t="inlineStr">
        <is>
          <t>오송읍 연제리 794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246</v>
      </c>
      <c r="J1110" s="4" t="n">
        <v>74</v>
      </c>
      <c r="K1110" s="5" t="n">
        <v>973</v>
      </c>
      <c r="L1110" s="4" t="n">
        <v>368</v>
      </c>
      <c r="M1110" s="4" t="n">
        <v>111</v>
      </c>
      <c r="N1110" s="5" t="n">
        <v>648.6</v>
      </c>
      <c r="O1110" s="3" t="inlineStr">
        <is>
          <t>원룸이 많은 다가구주택.주인세대 관리잘됨.</t>
        </is>
      </c>
      <c r="P1110" s="6">
        <f>HYPERLINK("https://fin.land.naver.com/articles/2654895864", "매물Link")</f>
        <v/>
      </c>
      <c r="Q1110" s="6">
        <f>HYPERLINK("https://map.naver.com/p/search/오송읍 연제리 794", "지도Link")</f>
        <v/>
      </c>
      <c r="R1110" s="6">
        <f>HYPERLINK("http://www.eum.go.kr/web/ar/lu/luLandDet.jsp?pnu=4311325026107940000&amp;isNoScr=script&amp;mode=search", "토지이음")</f>
        <v/>
      </c>
      <c r="S1110" s="3" t="inlineStr">
        <is>
          <t>이룸</t>
        </is>
      </c>
      <c r="T1110" s="4" t="n">
        <v>1</v>
      </c>
      <c r="U1110" s="5" t="n">
        <v>227</v>
      </c>
      <c r="V1110" s="4" t="n">
        <v>246.8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가로장방</t>
        </is>
      </c>
      <c r="AA1110" s="3" t="inlineStr">
        <is>
          <t>소로한면</t>
        </is>
      </c>
    </row>
    <row r="1111">
      <c r="A1111" s="3" t="inlineStr">
        <is>
          <t>오송읍 연제리 794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매매</t>
        </is>
      </c>
      <c r="G1111" s="4" t="n">
        <v>73000</v>
      </c>
      <c r="H1111" s="4" t="n">
        <v>0</v>
      </c>
      <c r="I1111" s="4" t="n">
        <v>246</v>
      </c>
      <c r="J1111" s="4" t="n">
        <v>74</v>
      </c>
      <c r="K1111" s="5" t="n">
        <v>986.5</v>
      </c>
      <c r="L1111" s="4" t="n">
        <v>368</v>
      </c>
      <c r="M1111" s="4" t="n">
        <v>111</v>
      </c>
      <c r="N1111" s="5" t="n">
        <v>657.7</v>
      </c>
      <c r="O1111" s="3" t="inlineStr">
        <is>
          <t>산업단지 개발로 임대수요 풍부한 오송1산단 다가구</t>
        </is>
      </c>
      <c r="P1111" s="6">
        <f>HYPERLINK("https://fin.land.naver.com/articles/2655539920", "매물Link")</f>
        <v/>
      </c>
      <c r="Q1111" s="6">
        <f>HYPERLINK("https://map.naver.com/p/search/오송읍 연제리 794", "지도Link")</f>
        <v/>
      </c>
      <c r="R1111" s="6">
        <f>HYPERLINK("http://www.eum.go.kr/web/ar/lu/luLandDet.jsp?pnu=4311325026107940000&amp;isNoScr=script&amp;mode=search", "토지이음")</f>
        <v/>
      </c>
      <c r="S1111" s="3" t="inlineStr">
        <is>
          <t>오송1단지창조</t>
        </is>
      </c>
      <c r="T1111" s="4" t="n">
        <v>1</v>
      </c>
      <c r="U1111" s="5" t="n">
        <v>227</v>
      </c>
      <c r="V1111" s="4" t="n">
        <v>246.8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가로장방</t>
        </is>
      </c>
      <c r="AA1111" s="3" t="inlineStr">
        <is>
          <t>소로한면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805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300</v>
      </c>
      <c r="H1113" s="4" t="n">
        <v>31</v>
      </c>
      <c r="I1113" s="4" t="n">
        <v>28</v>
      </c>
      <c r="J1113" s="4" t="n">
        <v>8</v>
      </c>
      <c r="K1113" s="5" t="n">
        <v>3.9</v>
      </c>
      <c r="L1113" s="4" t="n">
        <v>28</v>
      </c>
      <c r="M1113" s="4" t="n">
        <v>8</v>
      </c>
      <c r="N1113" s="5" t="n">
        <v>3.9</v>
      </c>
      <c r="O1113" s="3" t="inlineStr">
        <is>
          <t>즉시입주 가능한 원룸,풀옵션,상태 최상</t>
        </is>
      </c>
      <c r="P1113" s="6">
        <f>HYPERLINK("https://fin.land.naver.com/articles/2654204624", "매물Link")</f>
        <v/>
      </c>
      <c r="Q1113" s="6">
        <f>HYPERLINK("https://map.naver.com/p/search/오송읍 연제리 805", "지도Link")</f>
        <v/>
      </c>
      <c r="R1113" s="6">
        <f>HYPERLINK("http://www.eum.go.kr/web/ar/lu/luLandDet.jsp?pnu=4311325026108050000&amp;isNoScr=script&amp;mode=search", "토지이음")</f>
        <v/>
      </c>
      <c r="S1113" s="3" t="inlineStr">
        <is>
          <t>오송조은</t>
        </is>
      </c>
      <c r="T1113" s="4" t="n">
        <v>1</v>
      </c>
      <c r="U1113" s="5" t="n">
        <v>227</v>
      </c>
      <c r="V1113" s="4" t="n">
        <v>254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807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다가구</t>
        </is>
      </c>
      <c r="F1114" s="3" t="inlineStr">
        <is>
          <t>월세</t>
        </is>
      </c>
      <c r="G1114" s="4" t="n">
        <v>500</v>
      </c>
      <c r="H1114" s="4" t="n">
        <v>47</v>
      </c>
      <c r="I1114" s="4" t="n">
        <v>31</v>
      </c>
      <c r="J1114" s="4" t="n">
        <v>9</v>
      </c>
      <c r="K1114" s="5" t="n">
        <v>5.2</v>
      </c>
      <c r="L1114" s="4" t="n">
        <v>31</v>
      </c>
      <c r="M1114" s="4" t="n">
        <v>9</v>
      </c>
      <c r="N1114" s="5" t="n">
        <v>5.2</v>
      </c>
      <c r="O1114" s="3" t="inlineStr">
        <is>
          <t>즉시입주투베이.리모델링 준신축급.호수공원 근접한 조용한 투베이.</t>
        </is>
      </c>
      <c r="P1114" s="6">
        <f>HYPERLINK("https://fin.land.naver.com/articles/2653603375", "매물Link")</f>
        <v/>
      </c>
      <c r="Q1114" s="6">
        <f>HYPERLINK("https://map.naver.com/p/search/오송읍 연제리 807", "지도Link")</f>
        <v/>
      </c>
      <c r="R1114" s="6">
        <f>HYPERLINK("http://www.eum.go.kr/web/ar/lu/luLandDet.jsp?pnu=4311325026108070000&amp;isNoScr=script&amp;mode=search",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273.8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809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36</v>
      </c>
      <c r="I1115" s="4" t="n">
        <v>30</v>
      </c>
      <c r="J1115" s="4" t="n">
        <v>9</v>
      </c>
      <c r="K1115" s="5" t="n">
        <v>4</v>
      </c>
      <c r="L1115" s="4" t="n">
        <v>30</v>
      </c>
      <c r="M1115" s="4" t="n">
        <v>9</v>
      </c>
      <c r="N1115" s="5" t="n">
        <v>4</v>
      </c>
      <c r="O1115" s="3" t="inlineStr">
        <is>
          <t>오송역 도보 6분 이내, 오송호수공원 인접, 저렴한 투베이</t>
        </is>
      </c>
      <c r="P1115" s="6">
        <f>HYPERLINK("https://fin.land.naver.com/articles/2653407926", "매물Link")</f>
        <v/>
      </c>
      <c r="Q1115" s="6">
        <f>HYPERLINK("https://map.naver.com/p/search/오송읍 연제리 809", "지도Link")</f>
        <v/>
      </c>
      <c r="R1115" s="6">
        <f>HYPERLINK("http://www.eum.go.kr/web/ar/lu/luLandDet.jsp?pnu=4311325026108090000&amp;isNoScr=script&amp;mode=search", "토지이음")</f>
        <v/>
      </c>
      <c r="S1115" s="3" t="inlineStr">
        <is>
          <t>오송채움</t>
        </is>
      </c>
      <c r="T1115" s="4" t="n">
        <v>1</v>
      </c>
      <c r="U1115" s="5" t="n">
        <v>227</v>
      </c>
      <c r="V1115" s="4" t="n">
        <v>273.9</v>
      </c>
      <c r="W1115" s="3" t="inlineStr">
        <is>
          <t>지정되지않음</t>
        </is>
      </c>
      <c r="X1115" s="3" t="inlineStr">
        <is>
          <t>다세대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소로한면</t>
        </is>
      </c>
    </row>
    <row r="1116">
      <c r="A1116" s="3" t="inlineStr">
        <is>
          <t>오송읍 연제리 817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다가구</t>
        </is>
      </c>
      <c r="F1116" s="3" t="inlineStr">
        <is>
          <t>전세</t>
        </is>
      </c>
      <c r="G1116" s="4" t="n">
        <v>11000</v>
      </c>
      <c r="H1116" s="4" t="n">
        <v>0</v>
      </c>
      <c r="I1116" s="4" t="n">
        <v>55</v>
      </c>
      <c r="J1116" s="4" t="n">
        <v>17</v>
      </c>
      <c r="K1116" s="5" t="n">
        <v>647.1</v>
      </c>
      <c r="L1116" s="4" t="n">
        <v>55</v>
      </c>
      <c r="M1116" s="4" t="n">
        <v>17</v>
      </c>
      <c r="N1116" s="5" t="n">
        <v>647.1</v>
      </c>
      <c r="O1116" s="3" t="inlineStr">
        <is>
          <t>투룸전세,전세대출가능,상태 넘 좋아요.관리 잘된집</t>
        </is>
      </c>
      <c r="P1116" s="6">
        <f>HYPERLINK("https://fin.land.naver.com/articles/2655955891", "매물Link")</f>
        <v/>
      </c>
      <c r="Q1116" s="6">
        <f>HYPERLINK("https://map.naver.com/p/search/오송읍 연제리 817", "지도Link")</f>
        <v/>
      </c>
      <c r="R1116" s="6">
        <f>HYPERLINK("http://www.eum.go.kr/web/ar/lu/luLandDet.jsp?pnu=4311325026108170000&amp;isNoScr=script&amp;mode=search", "토지이음")</f>
        <v/>
      </c>
      <c r="S1116" s="3" t="inlineStr">
        <is>
          <t>오송채움</t>
        </is>
      </c>
      <c r="T1116" s="4" t="n">
        <v>1</v>
      </c>
      <c r="U1116" s="5" t="n">
        <v>244.1</v>
      </c>
      <c r="V1116" s="4" t="n">
        <v>290.9</v>
      </c>
      <c r="W1116" s="3" t="inlineStr">
        <is>
          <t>지정되지않음</t>
        </is>
      </c>
      <c r="X1116" s="3" t="inlineStr">
        <is>
          <t>다세대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828</t>
        </is>
      </c>
      <c r="B1117" s="3" t="inlineStr">
        <is>
          <t>준주거지역</t>
        </is>
      </c>
      <c r="C1117" s="3" t="inlineStr">
        <is>
          <t>대</t>
        </is>
      </c>
      <c r="D1117" s="3" t="inlineStr">
        <is>
          <t>0</t>
        </is>
      </c>
      <c r="E1117" s="3" t="inlineStr">
        <is>
          <t>기타</t>
        </is>
      </c>
      <c r="F1117" s="3" t="inlineStr">
        <is>
          <t>월세</t>
        </is>
      </c>
      <c r="G1117" s="4" t="n">
        <v>60</v>
      </c>
      <c r="H1117" s="4" t="n">
        <v>41</v>
      </c>
      <c r="I1117" s="4" t="n">
        <v>19</v>
      </c>
      <c r="J1117" s="4" t="n">
        <v>6</v>
      </c>
      <c r="K1117" s="5" t="n">
        <v>6.8</v>
      </c>
      <c r="L1117" s="4" t="n">
        <v>19</v>
      </c>
      <c r="M1117" s="4" t="n">
        <v>6</v>
      </c>
      <c r="N1117" s="5" t="n">
        <v>6.8</v>
      </c>
      <c r="O1117" s="3" t="inlineStr">
        <is>
          <t>풀옵션 단기방.에어로케이 호수공원,오송역8번출구 초근접.</t>
        </is>
      </c>
      <c r="P1117" s="6">
        <f>HYPERLINK("https://fin.land.naver.com/articles/2655591784", "매물Link")</f>
        <v/>
      </c>
      <c r="Q1117" s="6">
        <f>HYPERLINK("https://map.naver.com/p/search/오송읍 연제리 828", "지도Link")</f>
        <v/>
      </c>
      <c r="R1117" s="6">
        <f>HYPERLINK("http://www.eum.go.kr/web/ar/lu/luLandDet.jsp?pnu=4311325026108280000&amp;isNoScr=script&amp;mode=search",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467.1</v>
      </c>
      <c r="V1117" s="4" t="n">
        <v>378</v>
      </c>
      <c r="W1117" s="3" t="inlineStr">
        <is>
          <t>지정되지않음</t>
        </is>
      </c>
      <c r="X1117" s="3" t="inlineStr">
        <is>
          <t>상업용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광대소각</t>
        </is>
      </c>
    </row>
    <row r="1118">
      <c r="A1118" s="3" t="inlineStr">
        <is>
          <t>오송읍 연제리 828</t>
        </is>
      </c>
      <c r="B1118" s="3" t="inlineStr">
        <is>
          <t>준주거지역</t>
        </is>
      </c>
      <c r="C1118" s="3" t="inlineStr">
        <is>
          <t>대</t>
        </is>
      </c>
      <c r="D1118" s="3" t="inlineStr">
        <is>
          <t>0</t>
        </is>
      </c>
      <c r="E1118" s="3" t="inlineStr">
        <is>
          <t>일반원룸</t>
        </is>
      </c>
      <c r="F1118" s="3" t="inlineStr">
        <is>
          <t>단기임대</t>
        </is>
      </c>
      <c r="G1118" s="4" t="n">
        <v>60</v>
      </c>
      <c r="H1118" s="4" t="n">
        <v>50</v>
      </c>
      <c r="I1118" s="4" t="n">
        <v>0</v>
      </c>
      <c r="J1118" s="4" t="n">
        <v>0</v>
      </c>
      <c r="K1118" s="5" t="n">
        <v>0</v>
      </c>
      <c r="L1118" s="4" t="n">
        <v>20</v>
      </c>
      <c r="M1118" s="4" t="n">
        <v>6</v>
      </c>
      <c r="N1118" s="5" t="n">
        <v>10</v>
      </c>
      <c r="O1118" s="3" t="inlineStr">
        <is>
          <t>오송역 도보 7분 깔끔한 단기임대 원룸인턴직장 단기발령 추천</t>
        </is>
      </c>
      <c r="P1118" s="6">
        <f>HYPERLINK("https://fin.land.naver.com/articles/2655184408", "매물Link")</f>
        <v/>
      </c>
      <c r="Q1118" s="6">
        <f>HYPERLINK("https://map.naver.com/p/search/오송읍 연제리 828", "지도Link")</f>
        <v/>
      </c>
      <c r="R1118" s="6">
        <f>HYPERLINK("http://www.eum.go.kr/web/ar/lu/luLandDet.jsp?pnu=4311325026108280000&amp;isNoScr=script&amp;mode=search", "토지이음")</f>
        <v/>
      </c>
      <c r="S1118" s="3" t="inlineStr">
        <is>
          <t>오송시티</t>
        </is>
      </c>
      <c r="T1118" s="4" t="n">
        <v>1</v>
      </c>
      <c r="U1118" s="5" t="n">
        <v>467.1</v>
      </c>
      <c r="V1118" s="4" t="n">
        <v>378</v>
      </c>
      <c r="W1118" s="3" t="inlineStr">
        <is>
          <t>지정되지않음</t>
        </is>
      </c>
      <c r="X1118" s="3" t="inlineStr">
        <is>
          <t>상업용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광대소각</t>
        </is>
      </c>
    </row>
    <row r="1119">
      <c r="A1119" s="3" t="inlineStr">
        <is>
          <t>오송읍 오송리 143-19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72000</v>
      </c>
      <c r="H1119" s="4" t="n">
        <v>0</v>
      </c>
      <c r="I1119" s="4" t="n">
        <v>416</v>
      </c>
      <c r="J1119" s="4" t="n">
        <v>126</v>
      </c>
      <c r="K1119" s="5" t="n">
        <v>571.4</v>
      </c>
      <c r="L1119" s="4" t="n">
        <v>343</v>
      </c>
      <c r="M1119" s="4" t="n">
        <v>104</v>
      </c>
      <c r="N1119" s="5" t="n">
        <v>692.3</v>
      </c>
      <c r="O1119" s="3" t="inlineStr">
        <is>
          <t>청주 조치원 간 40m 대로에 인접한 상업용지 주택 및 창고 급매</t>
        </is>
      </c>
      <c r="P1119" s="6">
        <f>HYPERLINK("https://fin.land.naver.com/articles/2651402991", "매물Link")</f>
        <v/>
      </c>
      <c r="Q1119" s="6">
        <f>HYPERLINK("https://map.naver.com/p/search/오송읍 오송리 143-19", "지도Link")</f>
        <v/>
      </c>
      <c r="R1119" s="6">
        <f>HYPERLINK("http://www.eum.go.kr/web/ar/lu/luLandDet.jsp?pnu=4311325028101430019&amp;isNoScr=script&amp;mode=search", "토지이음")</f>
        <v/>
      </c>
      <c r="S1119" s="3" t="inlineStr">
        <is>
          <t>오송3산단  사무소</t>
        </is>
      </c>
      <c r="T1119" s="4" t="n">
        <v>1</v>
      </c>
      <c r="U1119" s="5" t="n">
        <v>176.9</v>
      </c>
      <c r="V1119" s="4" t="n">
        <v>140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오송리 144-8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빌라</t>
        </is>
      </c>
      <c r="F1120" s="3" t="inlineStr">
        <is>
          <t>매매</t>
        </is>
      </c>
      <c r="G1120" s="4" t="n">
        <v>10000</v>
      </c>
      <c r="H1120" s="4" t="n">
        <v>0</v>
      </c>
      <c r="I1120" s="4" t="n">
        <v>65</v>
      </c>
      <c r="J1120" s="4" t="n">
        <v>20</v>
      </c>
      <c r="K1120" s="5" t="n">
        <v>500</v>
      </c>
      <c r="L1120" s="4" t="n">
        <v>59</v>
      </c>
      <c r="M1120" s="4" t="n">
        <v>18</v>
      </c>
      <c r="N1120" s="5" t="n">
        <v>555.6</v>
      </c>
      <c r="O1120" s="3" t="inlineStr">
        <is>
          <t>즉시입주, 따뜻한 남동향, 엘리베이터 없어도 좋은 2층</t>
        </is>
      </c>
      <c r="P1120" s="6">
        <f>HYPERLINK("https://fin.land.naver.com/articles/2651400013", "매물Link")</f>
        <v/>
      </c>
      <c r="Q1120" s="6">
        <f>HYPERLINK("https://map.naver.com/p/search/오송읍 오송리 144-8", "지도Link")</f>
        <v/>
      </c>
      <c r="R1120" s="6">
        <f>HYPERLINK("http://www.eum.go.kr/web/ar/lu/luLandDet.jsp?pnu=4311325028101440008&amp;isNoScr=script&amp;mode=search", "토지이음")</f>
        <v/>
      </c>
      <c r="S1120" s="3" t="inlineStr">
        <is>
          <t>오송3산단  사무소</t>
        </is>
      </c>
      <c r="T1120" s="4" t="n">
        <v>1</v>
      </c>
      <c r="U1120" s="5" t="n">
        <v>177</v>
      </c>
      <c r="V1120" s="4" t="n">
        <v>215</v>
      </c>
      <c r="W1120" s="3" t="inlineStr">
        <is>
          <t>지정되지않음</t>
        </is>
      </c>
      <c r="X1120" s="3" t="inlineStr">
        <is>
          <t>연립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세로각지(가)</t>
        </is>
      </c>
    </row>
    <row r="1121">
      <c r="A1121" s="3" t="inlineStr">
        <is>
          <t>오송읍 오송리 20-1</t>
        </is>
      </c>
      <c r="B1121" s="3" t="inlineStr">
        <is>
          <t>농림지역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단독</t>
        </is>
      </c>
      <c r="F1121" s="3" t="inlineStr">
        <is>
          <t>월세</t>
        </is>
      </c>
      <c r="G1121" s="4" t="n">
        <v>3000</v>
      </c>
      <c r="H1121" s="4" t="n">
        <v>250</v>
      </c>
      <c r="I1121" s="4" t="n">
        <v>655</v>
      </c>
      <c r="J1121" s="4" t="n">
        <v>198</v>
      </c>
      <c r="K1121" s="5" t="n">
        <v>1.3</v>
      </c>
      <c r="L1121" s="4" t="n">
        <v>193</v>
      </c>
      <c r="M1121" s="4" t="n">
        <v>58</v>
      </c>
      <c r="N1121" s="5" t="n">
        <v>4.3</v>
      </c>
      <c r="O1121" s="3" t="inlineStr">
        <is>
          <t>오송역 도보 3분 마당 있는 주택단기단체숙소환영</t>
        </is>
      </c>
      <c r="P1121" s="6">
        <f>HYPERLINK("https://fin.land.naver.com/articles/2655183188", "매물Link")</f>
        <v/>
      </c>
      <c r="Q1121" s="6">
        <f>HYPERLINK("https://map.naver.com/p/search/오송읍 오송리 20-1", "지도Link")</f>
        <v/>
      </c>
      <c r="R1121" s="6">
        <f>HYPERLINK("http://www.eum.go.kr/web/ar/lu/luLandDet.jsp?pnu=4311325028100200001&amp;isNoScr=script&amp;mode=search", "토지이음")</f>
        <v/>
      </c>
      <c r="S1121" s="3" t="inlineStr">
        <is>
          <t>오송시티</t>
        </is>
      </c>
      <c r="T1121" s="4" t="n">
        <v>1</v>
      </c>
      <c r="U1121" s="5" t="n">
        <v>132.8</v>
      </c>
      <c r="V1121" s="4" t="n">
        <v>522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오송읍 오송리 210-38</t>
        </is>
      </c>
      <c r="B1122" s="3" t="inlineStr">
        <is>
          <t>농림지역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85000</v>
      </c>
      <c r="H1122" s="4" t="n">
        <v>0</v>
      </c>
      <c r="I1122" s="4" t="n">
        <v>454</v>
      </c>
      <c r="J1122" s="4" t="n">
        <v>137</v>
      </c>
      <c r="K1122" s="5" t="n">
        <v>620.4</v>
      </c>
      <c r="L1122" s="4" t="n">
        <v>181</v>
      </c>
      <c r="M1122" s="4" t="n">
        <v>55</v>
      </c>
      <c r="N1122" s="5" t="n">
        <v>1545.5</v>
      </c>
      <c r="O1122" s="3" t="inlineStr">
        <is>
          <t>nan</t>
        </is>
      </c>
      <c r="P1122" s="6">
        <f>HYPERLINK("https://fin.land.naver.com/articles/2656161304", "매물Link")</f>
        <v/>
      </c>
      <c r="Q1122" s="6">
        <f>HYPERLINK("https://map.naver.com/p/search/오송읍 오송리 210-38", "지도Link")</f>
        <v/>
      </c>
      <c r="R1122" s="6">
        <f>HYPERLINK("http://www.eum.go.kr/web/ar/lu/luLandDet.jsp?pnu=4311325028102100038&amp;isNoScr=script&amp;mode=search",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142.6</v>
      </c>
      <c r="V1122" s="4" t="n">
        <v>455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오송읍 오송리 245-1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180000</v>
      </c>
      <c r="H1123" s="4" t="n">
        <v>0</v>
      </c>
      <c r="I1123" s="4" t="n">
        <v>1190</v>
      </c>
      <c r="J1123" s="4" t="n">
        <v>360</v>
      </c>
      <c r="K1123" s="5" t="n">
        <v>500</v>
      </c>
      <c r="L1123" s="4" t="n">
        <v>360</v>
      </c>
      <c r="M1123" s="4" t="n">
        <v>109</v>
      </c>
      <c r="N1123" s="5" t="n">
        <v>1651.4</v>
      </c>
      <c r="O1123" s="3" t="inlineStr">
        <is>
          <t>오송3산단주출입구쪽 근생시설설치 최적입지의 정사각형 토지.</t>
        </is>
      </c>
      <c r="P1123" s="6">
        <f>HYPERLINK("https://fin.land.naver.com/articles/2655313949", "매물Link")</f>
        <v/>
      </c>
      <c r="Q1123" s="6">
        <f>HYPERLINK("https://map.naver.com/p/search/오송읍 오송리 245-1", "지도Link")</f>
        <v/>
      </c>
      <c r="R1123" s="6">
        <f>HYPERLINK("http://www.eum.go.kr/web/ar/lu/luLandDet.jsp?pnu=4311325028102450001&amp;isNoScr=script&amp;mode=search", "토지이음")</f>
        <v/>
      </c>
      <c r="S1123" s="3" t="inlineStr">
        <is>
          <t>오송k랜드</t>
        </is>
      </c>
      <c r="T1123" s="4" t="n">
        <v>1</v>
      </c>
      <c r="U1123" s="5" t="n">
        <v>166.7</v>
      </c>
      <c r="V1123" s="4" t="n">
        <v>1190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246-63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월세</t>
        </is>
      </c>
      <c r="G1124" s="4" t="n">
        <v>1000</v>
      </c>
      <c r="H1124" s="4" t="n">
        <v>60</v>
      </c>
      <c r="I1124" s="4" t="n">
        <v>169</v>
      </c>
      <c r="J1124" s="4" t="n">
        <v>51</v>
      </c>
      <c r="K1124" s="5" t="n">
        <v>1.2</v>
      </c>
      <c r="L1124" s="4" t="n">
        <v>92</v>
      </c>
      <c r="M1124" s="4" t="n">
        <v>28</v>
      </c>
      <c r="N1124" s="5" t="n">
        <v>2.1</v>
      </c>
      <c r="O1124" s="3" t="inlineStr">
        <is>
          <t>Osong.구 오송에 위치한 사무실등으로 사용하기좋은 단독 2층</t>
        </is>
      </c>
      <c r="P1124" s="6">
        <f>HYPERLINK("https://fin.land.naver.com/articles/2653715784", "매물Link")</f>
        <v/>
      </c>
      <c r="Q1124" s="6">
        <f>HYPERLINK("https://map.naver.com/p/search/오송읍 오송리 246-63", "지도Link")</f>
        <v/>
      </c>
      <c r="R1124" s="6">
        <f>HYPERLINK("http://www.eum.go.kr/web/ar/lu/luLandDet.jsp?pnu=4311325028102460063&amp;isNoScr=script&amp;mode=search", "토지이음")</f>
        <v/>
      </c>
      <c r="S1124" s="3" t="inlineStr">
        <is>
          <t>송림(松林) 사무소</t>
        </is>
      </c>
      <c r="T1124" s="4" t="n">
        <v>1</v>
      </c>
      <c r="U1124" s="5" t="n">
        <v>268.3</v>
      </c>
      <c r="V1124" s="4" t="n">
        <v>289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오송읍 오송리 60-93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65000</v>
      </c>
      <c r="H1125" s="4" t="n">
        <v>0</v>
      </c>
      <c r="I1125" s="4" t="n">
        <v>516</v>
      </c>
      <c r="J1125" s="4" t="n">
        <v>156</v>
      </c>
      <c r="K1125" s="5" t="n">
        <v>416.7</v>
      </c>
      <c r="L1125" s="4" t="n">
        <v>86</v>
      </c>
      <c r="M1125" s="4" t="n">
        <v>26</v>
      </c>
      <c r="N1125" s="5" t="n">
        <v>2500</v>
      </c>
      <c r="O1125" s="3" t="inlineStr">
        <is>
          <t>오송1리 오송초 바로 인접한 대지 및 구옥주택으로 투자자 추천</t>
        </is>
      </c>
      <c r="P1125" s="6">
        <f>HYPERLINK("https://fin.land.naver.com/articles/2654113832", "매물Link")</f>
        <v/>
      </c>
      <c r="Q1125" s="6">
        <f>HYPERLINK("https://map.naver.com/p/search/오송읍 오송리 60-93", "지도Link")</f>
        <v/>
      </c>
      <c r="R1125" s="6">
        <f>HYPERLINK("http://www.eum.go.kr/web/ar/lu/luLandDet.jsp?pnu=4311325028100600093&amp;isNoScr=script&amp;mode=search", "토지이음")</f>
        <v/>
      </c>
      <c r="S1125" s="3" t="inlineStr">
        <is>
          <t>오송k랜드</t>
        </is>
      </c>
      <c r="T1125" s="4" t="n">
        <v>1</v>
      </c>
      <c r="U1125" s="5" t="n">
        <v>200.7</v>
      </c>
      <c r="V1125" s="4" t="n">
        <v>516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정중리 205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매매</t>
        </is>
      </c>
      <c r="G1126" s="4" t="n">
        <v>77432</v>
      </c>
      <c r="H1126" s="4" t="n">
        <v>0</v>
      </c>
      <c r="I1126" s="4" t="n">
        <v>890</v>
      </c>
      <c r="J1126" s="4" t="n">
        <v>269</v>
      </c>
      <c r="K1126" s="5" t="n">
        <v>287.9</v>
      </c>
      <c r="L1126" s="4" t="n">
        <v>98</v>
      </c>
      <c r="M1126" s="4" t="n">
        <v>30</v>
      </c>
      <c r="N1126" s="5" t="n">
        <v>2581.1</v>
      </c>
      <c r="O1126" s="3" t="inlineStr">
        <is>
          <t>정중리 단독주택및 인근 전일괄매매 상세설명참조</t>
        </is>
      </c>
      <c r="P1126" s="6">
        <f>HYPERLINK("https://fin.land.naver.com/articles/2652838770", "매물Link")</f>
        <v/>
      </c>
      <c r="Q1126" s="6">
        <f>HYPERLINK("https://map.naver.com/p/search/오송읍 정중리 205", "지도Link")</f>
        <v/>
      </c>
      <c r="R1126" s="6">
        <f>HYPERLINK("http://www.eum.go.kr/web/ar/lu/luLandDet.jsp?pnu=4311325032102050000&amp;isNoScr=script&amp;mode=search", "토지이음")</f>
        <v/>
      </c>
      <c r="S1126" s="3" t="inlineStr">
        <is>
          <t>오송휴먼캐슬</t>
        </is>
      </c>
      <c r="T1126" s="4" t="n">
        <v>1</v>
      </c>
      <c r="U1126" s="5" t="n">
        <v>91.3</v>
      </c>
      <c r="V1126" s="4" t="n">
        <v>330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자루형</t>
        </is>
      </c>
      <c r="AA1126" s="3" t="inlineStr">
        <is>
          <t>세로한면(가)</t>
        </is>
      </c>
    </row>
    <row r="1127">
      <c r="A1127" s="3" t="inlineStr">
        <is>
          <t>오송읍 정중리 284-7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75000</v>
      </c>
      <c r="H1127" s="4" t="n">
        <v>0</v>
      </c>
      <c r="I1127" s="4" t="n">
        <v>8114</v>
      </c>
      <c r="J1127" s="4" t="n">
        <v>2454</v>
      </c>
      <c r="K1127" s="5" t="n">
        <v>30.6</v>
      </c>
      <c r="L1127" s="4" t="n">
        <v>84</v>
      </c>
      <c r="M1127" s="4" t="n">
        <v>25</v>
      </c>
      <c r="N1127" s="5" t="n">
        <v>3000</v>
      </c>
      <c r="O1127" s="3" t="inlineStr">
        <is>
          <t>오송생명과학단지 인근 주택포함 전 일괄 매매</t>
        </is>
      </c>
      <c r="P1127" s="6">
        <f>HYPERLINK("https://fin.land.naver.com/articles/2654796611", "매물Link")</f>
        <v/>
      </c>
      <c r="Q1127" s="6">
        <f>HYPERLINK("https://map.naver.com/p/search/오송읍 정중리 284-7", "지도Link")</f>
        <v/>
      </c>
      <c r="R1127" s="6">
        <f>HYPERLINK("http://www.eum.go.kr/web/ar/lu/luLandDet.jsp?pnu=4311325032102840007&amp;isNoScr=script&amp;mode=search", "토지이음")</f>
        <v/>
      </c>
      <c r="S1127" s="3" t="inlineStr">
        <is>
          <t>스타트</t>
        </is>
      </c>
      <c r="T1127" s="4" t="n">
        <v>1</v>
      </c>
      <c r="U1127" s="5" t="n">
        <v>83.5</v>
      </c>
      <c r="V1127" s="4" t="n">
        <v>380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오송읍 정중리 556-12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</v>
      </c>
      <c r="H1128" s="4" t="n">
        <v>0</v>
      </c>
      <c r="I1128" s="4" t="n">
        <v>133</v>
      </c>
      <c r="J1128" s="4" t="n">
        <v>40</v>
      </c>
      <c r="K1128" s="5" t="n">
        <v>325</v>
      </c>
      <c r="L1128" s="4" t="n">
        <v>29</v>
      </c>
      <c r="M1128" s="4" t="n">
        <v>9</v>
      </c>
      <c r="N1128" s="5" t="n">
        <v>1444.4</v>
      </c>
      <c r="O1128" s="3" t="inlineStr">
        <is>
          <t>주말주택겸 투자용 단독주택</t>
        </is>
      </c>
      <c r="P1128" s="6">
        <f>HYPERLINK("https://fin.land.naver.com/articles/2654656929", "매물Link")</f>
        <v/>
      </c>
      <c r="Q1128" s="6">
        <f>HYPERLINK("https://map.naver.com/p/search/오송읍 정중리 556-12", "지도Link")</f>
        <v/>
      </c>
      <c r="R1128" s="6">
        <f>HYPERLINK("http://www.eum.go.kr/web/ar/lu/luLandDet.jsp?pnu=4311325032105560012&amp;isNoScr=script&amp;mode=search", "토지이음")</f>
        <v/>
      </c>
      <c r="S1128" s="3" t="inlineStr">
        <is>
          <t>원</t>
        </is>
      </c>
      <c r="T1128" s="4" t="n">
        <v>1</v>
      </c>
      <c r="U1128" s="5" t="n">
        <v>138.1</v>
      </c>
      <c r="V1128" s="4" t="n">
        <v>50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가로장방</t>
        </is>
      </c>
      <c r="AA1128" s="3" t="inlineStr">
        <is>
          <t>세로한면(가)</t>
        </is>
      </c>
    </row>
    <row r="1129">
      <c r="A1129" s="3" t="inlineStr">
        <is>
          <t>오송읍 정중리 556-5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전세</t>
        </is>
      </c>
      <c r="G1129" s="4" t="n">
        <v>8000</v>
      </c>
      <c r="H1129" s="4" t="n">
        <v>0</v>
      </c>
      <c r="I1129" s="4" t="n">
        <v>73</v>
      </c>
      <c r="J1129" s="4" t="n">
        <v>22</v>
      </c>
      <c r="K1129" s="5" t="n">
        <v>363.6</v>
      </c>
      <c r="L1129" s="4" t="n">
        <v>73</v>
      </c>
      <c r="M1129" s="4" t="n">
        <v>22</v>
      </c>
      <c r="N1129" s="5" t="n">
        <v>363.6</v>
      </c>
      <c r="O1129" s="3" t="inlineStr">
        <is>
          <t>오랫된 구옥이며 마당에 야채 심을 수 있어요.</t>
        </is>
      </c>
      <c r="P1129" s="6">
        <f>HYPERLINK("https://fin.land.naver.com/articles/2651265798", "매물Link")</f>
        <v/>
      </c>
      <c r="Q1129" s="6">
        <f>HYPERLINK("https://map.naver.com/p/search/오송읍 정중리 556-5", "지도Link")</f>
        <v/>
      </c>
      <c r="R1129" s="6">
        <f>HYPERLINK("http://www.eum.go.kr/web/ar/lu/luLandDet.jsp?pnu=4311325032105560005&amp;isNoScr=script&amp;mode=search", "토지이음")</f>
        <v/>
      </c>
      <c r="S1129" s="3" t="inlineStr">
        <is>
          <t>이순이</t>
        </is>
      </c>
      <c r="T1129" s="4" t="n">
        <v>1</v>
      </c>
      <c r="U1129" s="5" t="n">
        <v>154.7</v>
      </c>
      <c r="V1129" s="4" t="n">
        <v>268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소로각지</t>
        </is>
      </c>
    </row>
    <row r="1130">
      <c r="A1130" s="3" t="inlineStr">
        <is>
          <t>오송읍 정중리 556-5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34000</v>
      </c>
      <c r="H1130" s="4" t="n">
        <v>0</v>
      </c>
      <c r="I1130" s="4" t="n">
        <v>268</v>
      </c>
      <c r="J1130" s="4" t="n">
        <v>81</v>
      </c>
      <c r="K1130" s="5" t="n">
        <v>419.8</v>
      </c>
      <c r="L1130" s="4" t="n">
        <v>73</v>
      </c>
      <c r="M1130" s="4" t="n">
        <v>22</v>
      </c>
      <c r="N1130" s="5" t="n">
        <v>1545.5</v>
      </c>
      <c r="O1130" s="3" t="inlineStr">
        <is>
          <t>오송3산단 인근 정중리 도로변 옆 단독주택 즉시입주. 전세도 가능.</t>
        </is>
      </c>
      <c r="P1130" s="6">
        <f>HYPERLINK("https://fin.land.naver.com/articles/2651858414", "매물Link")</f>
        <v/>
      </c>
      <c r="Q1130" s="6">
        <f>HYPERLINK("https://map.naver.com/p/search/오송읍 정중리 556-5", "지도Link")</f>
        <v/>
      </c>
      <c r="R1130" s="6">
        <f>HYPERLINK("http://www.eum.go.kr/web/ar/lu/luLandDet.jsp?pnu=4311325032105560005&amp;isNoScr=script&amp;mode=search", "토지이음")</f>
        <v/>
      </c>
      <c r="S1130" s="3" t="inlineStr">
        <is>
          <t>세종대장</t>
        </is>
      </c>
      <c r="T1130" s="4" t="n">
        <v>1</v>
      </c>
      <c r="U1130" s="5" t="n">
        <v>154.7</v>
      </c>
      <c r="V1130" s="4" t="n">
        <v>268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소로각지</t>
        </is>
      </c>
    </row>
    <row r="1131">
      <c r="A1131" s="3" t="inlineStr">
        <is>
          <t>오송읍 정중리 557-17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35000</v>
      </c>
      <c r="H1131" s="4" t="n">
        <v>0</v>
      </c>
      <c r="I1131" s="4" t="n">
        <v>231</v>
      </c>
      <c r="J1131" s="4" t="n">
        <v>70</v>
      </c>
      <c r="K1131" s="5" t="n">
        <v>500</v>
      </c>
      <c r="L1131" s="4" t="n">
        <v>110</v>
      </c>
      <c r="M1131" s="4" t="n">
        <v>33</v>
      </c>
      <c r="N1131" s="5" t="n">
        <v>1060.6</v>
      </c>
      <c r="O1131" s="3" t="inlineStr">
        <is>
          <t>1982년 단독 주택  조치원 인근 투자, 거주 목적으로도 좋아요</t>
        </is>
      </c>
      <c r="P1131" s="6">
        <f>HYPERLINK("https://fin.land.naver.com/articles/2651279765", "매물Link")</f>
        <v/>
      </c>
      <c r="Q1131" s="6">
        <f>HYPERLINK("https://map.naver.com/p/search/오송읍 정중리 557-17", "지도Link")</f>
        <v/>
      </c>
      <c r="R1131" s="6">
        <f>HYPERLINK("http://www.eum.go.kr/web/ar/lu/luLandDet.jsp?pnu=4311325032105570017&amp;isNoScr=script&amp;mode=search", "토지이음")</f>
        <v/>
      </c>
      <c r="S1131" s="3" t="inlineStr">
        <is>
          <t>오송퍼스트영웅</t>
        </is>
      </c>
      <c r="T1131" s="4" t="n">
        <v>1</v>
      </c>
      <c r="U1131" s="5" t="n">
        <v>150.2</v>
      </c>
      <c r="V1131" s="4" t="n">
        <v>231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가로장방</t>
        </is>
      </c>
      <c r="AA1131" s="3" t="inlineStr">
        <is>
          <t>소로한면</t>
        </is>
      </c>
    </row>
    <row r="1132">
      <c r="A1132" s="3" t="inlineStr">
        <is>
          <t>장군면 금암리 261-15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다가구</t>
        </is>
      </c>
      <c r="F1132" s="3" t="inlineStr">
        <is>
          <t>매매</t>
        </is>
      </c>
      <c r="G1132" s="4" t="n">
        <v>80000</v>
      </c>
      <c r="H1132" s="4" t="n">
        <v>0</v>
      </c>
      <c r="I1132" s="4" t="n">
        <v>317</v>
      </c>
      <c r="J1132" s="4" t="n">
        <v>96</v>
      </c>
      <c r="K1132" s="5" t="n">
        <v>833.3</v>
      </c>
      <c r="L1132" s="4" t="n">
        <v>499</v>
      </c>
      <c r="M1132" s="4" t="n">
        <v>151</v>
      </c>
      <c r="N1132" s="5" t="n">
        <v>529.8</v>
      </c>
      <c r="O1132" s="3" t="inlineStr">
        <is>
          <t>룸21개, 지하1층2층, 조율가능, 다가구주택</t>
        </is>
      </c>
      <c r="P1132" s="6">
        <f>HYPERLINK("https://fin.land.naver.com/articles/2650893441", "매물Link")</f>
        <v/>
      </c>
      <c r="Q1132" s="6">
        <f>HYPERLINK("https://map.naver.com/p/search/장군면 금암리 261-15", "지도Link")</f>
        <v/>
      </c>
      <c r="R1132" s="6">
        <f>HYPERLINK("http://www.eum.go.kr/web/ar/lu/luLandDet.jsp?pnu=3611035025102610015&amp;isNoScr=script&amp;mode=search", "토지이음")</f>
        <v/>
      </c>
      <c r="S1132" s="3" t="inlineStr">
        <is>
          <t>세종무지개</t>
        </is>
      </c>
      <c r="T1132" s="4" t="n">
        <v>1</v>
      </c>
      <c r="U1132" s="5" t="n">
        <v>180.5</v>
      </c>
      <c r="V1132" s="4" t="n">
        <v>317</v>
      </c>
      <c r="W1132" s="3" t="inlineStr">
        <is>
          <t>지정되지않음</t>
        </is>
      </c>
      <c r="X1132" s="3" t="inlineStr">
        <is>
          <t>연립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소로한면</t>
        </is>
      </c>
    </row>
    <row r="1133">
      <c r="A1133" s="3" t="inlineStr">
        <is>
          <t>장군면 금암리 263-1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50000</v>
      </c>
      <c r="H1133" s="4" t="n">
        <v>0</v>
      </c>
      <c r="I1133" s="4" t="n">
        <v>664</v>
      </c>
      <c r="J1133" s="4" t="n">
        <v>201</v>
      </c>
      <c r="K1133" s="5" t="n">
        <v>248.8</v>
      </c>
      <c r="L1133" s="4" t="n">
        <v>147</v>
      </c>
      <c r="M1133" s="4" t="n">
        <v>44</v>
      </c>
      <c r="N1133" s="5" t="n">
        <v>1136.4</v>
      </c>
      <c r="O1133" s="3" t="inlineStr">
        <is>
          <t>2층 단독주택 테라스 마당 있으며 조용하게 거주가능</t>
        </is>
      </c>
      <c r="P1133" s="6">
        <f>HYPERLINK("https://fin.land.naver.com/articles/2651572708", "매물Link")</f>
        <v/>
      </c>
      <c r="Q1133" s="6">
        <f>HYPERLINK("https://map.naver.com/p/search/장군면 금암리 263-1", "지도Link")</f>
        <v/>
      </c>
      <c r="R1133" s="6">
        <f>HYPERLINK("http://www.eum.go.kr/web/ar/lu/luLandDet.jsp?pnu=3611035025102630001&amp;isNoScr=script&amp;mode=search", "토지이음")</f>
        <v/>
      </c>
      <c r="S1133" s="3" t="inlineStr">
        <is>
          <t>여기로</t>
        </is>
      </c>
      <c r="T1133" s="4" t="n">
        <v>1</v>
      </c>
      <c r="U1133" s="5" t="n">
        <v>167.1</v>
      </c>
      <c r="V1133" s="4" t="n">
        <v>280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소로한면</t>
        </is>
      </c>
    </row>
    <row r="1134">
      <c r="A1134" s="3" t="inlineStr">
        <is>
          <t>장군면 금암리 263-4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상가주택</t>
        </is>
      </c>
      <c r="F1134" s="3" t="inlineStr">
        <is>
          <t>매매</t>
        </is>
      </c>
      <c r="G1134" s="4" t="n">
        <v>110000</v>
      </c>
      <c r="H1134" s="4" t="n">
        <v>0</v>
      </c>
      <c r="I1134" s="4" t="n">
        <v>1193</v>
      </c>
      <c r="J1134" s="4" t="n">
        <v>361</v>
      </c>
      <c r="K1134" s="5" t="n">
        <v>304.7</v>
      </c>
      <c r="L1134" s="4" t="n">
        <v>282</v>
      </c>
      <c r="M1134" s="4" t="n">
        <v>85</v>
      </c>
      <c r="N1134" s="5" t="n">
        <v>1294.1</v>
      </c>
      <c r="O1134" s="3" t="inlineStr">
        <is>
          <t>영상정보대 입구 2차선 도로와 연접한 위치의 상가주택 대형 주차장</t>
        </is>
      </c>
      <c r="P1134" s="6">
        <f>HYPERLINK("https://fin.land.naver.com/articles/2650884237", "매물Link")</f>
        <v/>
      </c>
      <c r="Q1134" s="6">
        <f>HYPERLINK("https://map.naver.com/p/search/장군면 금암리 263-4", "지도Link")</f>
        <v/>
      </c>
      <c r="R1134" s="6">
        <f>HYPERLINK("http://www.eum.go.kr/web/ar/lu/luLandDet.jsp?pnu=3611035025102630004&amp;isNoScr=script&amp;mode=search", "토지이음")</f>
        <v/>
      </c>
      <c r="S1134" s="3" t="inlineStr">
        <is>
          <t>세종공주원탑</t>
        </is>
      </c>
      <c r="T1134" s="4" t="n">
        <v>1</v>
      </c>
      <c r="U1134" s="5" t="n">
        <v>147.1</v>
      </c>
      <c r="V1134" s="4" t="n">
        <v>679</v>
      </c>
      <c r="W1134" s="3" t="inlineStr">
        <is>
          <t>지정되지않음</t>
        </is>
      </c>
      <c r="X1134" s="3" t="inlineStr">
        <is>
          <t>상업용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상가주택</t>
        </is>
      </c>
      <c r="F1135" s="3" t="inlineStr">
        <is>
          <t>매매</t>
        </is>
      </c>
      <c r="G1135" s="4" t="n">
        <v>110000</v>
      </c>
      <c r="H1135" s="4" t="n">
        <v>0</v>
      </c>
      <c r="I1135" s="4" t="n">
        <v>679</v>
      </c>
      <c r="J1135" s="4" t="n">
        <v>205</v>
      </c>
      <c r="K1135" s="5" t="n">
        <v>536.6</v>
      </c>
      <c r="L1135" s="4" t="n">
        <v>282</v>
      </c>
      <c r="M1135" s="4" t="n">
        <v>85</v>
      </c>
      <c r="N1135" s="5" t="n">
        <v>1294.1</v>
      </c>
      <c r="O1135" s="3" t="inlineStr">
        <is>
          <t>대지 매우 큰 상가주택, 1층 음식점 카페 주택 I 행복도심 바로 인</t>
        </is>
      </c>
      <c r="P1135" s="6">
        <f>HYPERLINK("https://fin.land.naver.com/articles/2655033674", "매물Link")</f>
        <v/>
      </c>
      <c r="Q1135" s="6">
        <f>HYPERLINK("https://map.naver.com/p/search/장군면 금암리 263-4", "지도Link")</f>
        <v/>
      </c>
      <c r="R1135" s="6">
        <f>HYPERLINK("http://www.eum.go.kr/web/ar/lu/luLandDet.jsp?pnu=3611035025102630004&amp;isNoScr=script&amp;mode=search", "토지이음")</f>
        <v/>
      </c>
      <c r="S1135" s="3" t="inlineStr">
        <is>
          <t>세종신한</t>
        </is>
      </c>
      <c r="T1135" s="4" t="n">
        <v>1</v>
      </c>
      <c r="U1135" s="5" t="n">
        <v>147.1</v>
      </c>
      <c r="V1135" s="4" t="n">
        <v>679</v>
      </c>
      <c r="W1135" s="3" t="inlineStr">
        <is>
          <t>지정되지않음</t>
        </is>
      </c>
      <c r="X1135" s="3" t="inlineStr">
        <is>
          <t>상업용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소로한면</t>
        </is>
      </c>
    </row>
    <row r="1136">
      <c r="A1136" s="3" t="inlineStr">
        <is>
          <t>장군면 금암리 287-3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다가구</t>
        </is>
      </c>
      <c r="F1136" s="3" t="inlineStr">
        <is>
          <t>월세</t>
        </is>
      </c>
      <c r="G1136" s="4" t="n">
        <v>300</v>
      </c>
      <c r="H1136" s="4" t="n">
        <v>40</v>
      </c>
      <c r="I1136" s="4" t="n">
        <v>46</v>
      </c>
      <c r="J1136" s="4" t="n">
        <v>14</v>
      </c>
      <c r="K1136" s="5" t="n">
        <v>2.9</v>
      </c>
      <c r="L1136" s="4" t="n">
        <v>46</v>
      </c>
      <c r="M1136" s="4" t="n">
        <v>14</v>
      </c>
      <c r="N1136" s="5" t="n">
        <v>2.9</v>
      </c>
      <c r="O1136" s="3" t="inlineStr">
        <is>
          <t>즉시입주 채광좋음 전망굿</t>
        </is>
      </c>
      <c r="P1136" s="6">
        <f>HYPERLINK("https://fin.land.naver.com/articles/2652894240", "매물Link")</f>
        <v/>
      </c>
      <c r="Q1136" s="6">
        <f>HYPERLINK("https://map.naver.com/p/search/장군면 금암리 287-3", "지도Link")</f>
        <v/>
      </c>
      <c r="R1136" s="6">
        <f>HYPERLINK("http://www.eum.go.kr/web/ar/lu/luLandDet.jsp?pnu=3611035025102870003&amp;isNoScr=script&amp;mode=search", "토지이음")</f>
        <v/>
      </c>
      <c r="S1136" s="3" t="inlineStr">
        <is>
          <t>세종몽땅</t>
        </is>
      </c>
      <c r="T1136" s="4" t="n">
        <v>1</v>
      </c>
      <c r="U1136" s="5" t="n">
        <v>200.6</v>
      </c>
      <c r="V1136" s="4" t="n">
        <v>1104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302-59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월세</t>
        </is>
      </c>
      <c r="G1137" s="4" t="n">
        <v>5000</v>
      </c>
      <c r="H1137" s="4" t="n">
        <v>250</v>
      </c>
      <c r="I1137" s="4" t="n">
        <v>629</v>
      </c>
      <c r="J1137" s="4" t="n">
        <v>190</v>
      </c>
      <c r="K1137" s="5" t="n">
        <v>1.3</v>
      </c>
      <c r="L1137" s="4" t="n">
        <v>198</v>
      </c>
      <c r="M1137" s="4" t="n">
        <v>60</v>
      </c>
      <c r="N1137" s="5" t="n">
        <v>4.2</v>
      </c>
      <c r="O1137" s="3" t="inlineStr">
        <is>
          <t>전망 최고,2층 목조주택,</t>
        </is>
      </c>
      <c r="P1137" s="6">
        <f>HYPERLINK("https://fin.land.naver.com/articles/2654469986", "매물Link")</f>
        <v/>
      </c>
      <c r="Q1137" s="6">
        <f>HYPERLINK("https://map.naver.com/p/search/장군면 금암리 302-59", "지도Link")</f>
        <v/>
      </c>
      <c r="R1137" s="6">
        <f>HYPERLINK("http://www.eum.go.kr/web/ar/lu/luLandDet.jsp?pnu=3611035025103020059&amp;isNoScr=script&amp;mode=search", "토지이음")</f>
        <v/>
      </c>
      <c r="S1137" s="3" t="inlineStr">
        <is>
          <t>나릿재OK</t>
        </is>
      </c>
      <c r="T1137" s="4" t="n">
        <v>1</v>
      </c>
      <c r="U1137" s="5" t="n">
        <v>200.6</v>
      </c>
      <c r="V1137" s="4" t="n">
        <v>743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302-62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2000</v>
      </c>
      <c r="H1138" s="4" t="n">
        <v>70</v>
      </c>
      <c r="I1138" s="4" t="n">
        <v>656</v>
      </c>
      <c r="J1138" s="4" t="n">
        <v>198</v>
      </c>
      <c r="K1138" s="5" t="n">
        <v>0.4</v>
      </c>
      <c r="L1138" s="4" t="n">
        <v>68</v>
      </c>
      <c r="M1138" s="4" t="n">
        <v>21</v>
      </c>
      <c r="N1138" s="5" t="n">
        <v>3.3</v>
      </c>
      <c r="O1138" s="3" t="inlineStr">
        <is>
          <t>마당 넒은 전원주택, 이마트 자차10분,세종청사 근거리</t>
        </is>
      </c>
      <c r="P1138" s="6">
        <f>HYPERLINK("https://fin.land.naver.com/articles/2651664330", "매물Link")</f>
        <v/>
      </c>
      <c r="Q1138" s="6">
        <f>HYPERLINK("https://map.naver.com/p/search/장군면 금암리 302-62", "지도Link")</f>
        <v/>
      </c>
      <c r="R1138" s="6">
        <f>HYPERLINK("http://www.eum.go.kr/web/ar/lu/luLandDet.jsp?pnu=3611035025103020062&amp;isNoScr=script&amp;mode=search", "토지이음")</f>
        <v/>
      </c>
      <c r="S1138" s="3" t="inlineStr">
        <is>
          <t>나릿재OK</t>
        </is>
      </c>
      <c r="T1138" s="4" t="n">
        <v>1</v>
      </c>
      <c r="U1138" s="5" t="n">
        <v>200.6</v>
      </c>
      <c r="V1138" s="4" t="n">
        <v>656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302-84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75000</v>
      </c>
      <c r="H1139" s="4" t="n">
        <v>0</v>
      </c>
      <c r="I1139" s="4" t="n">
        <v>327</v>
      </c>
      <c r="J1139" s="4" t="n">
        <v>99</v>
      </c>
      <c r="K1139" s="5" t="n">
        <v>757.6</v>
      </c>
      <c r="L1139" s="4" t="n">
        <v>157</v>
      </c>
      <c r="M1139" s="4" t="n">
        <v>47</v>
      </c>
      <c r="N1139" s="5" t="n">
        <v>1595.7</v>
      </c>
      <c r="O1139" s="3" t="inlineStr">
        <is>
          <t>조용하고 쾌적한 전원마을, 근접한 세종시 인프라 그대로 누릴수 있음</t>
        </is>
      </c>
      <c r="P1139" s="6">
        <f>HYPERLINK("https://fin.land.naver.com/articles/2655359766", "매물Link")</f>
        <v/>
      </c>
      <c r="Q1139" s="6">
        <f>HYPERLINK("https://map.naver.com/p/search/장군면 금암리 302-84", "지도Link")</f>
        <v/>
      </c>
      <c r="R1139" s="6">
        <f>HYPERLINK("http://www.eum.go.kr/web/ar/lu/luLandDet.jsp?pnu=3611035025103020084&amp;isNoScr=script&amp;mode=search", "토지이음")</f>
        <v/>
      </c>
      <c r="S1139" s="3" t="inlineStr">
        <is>
          <t>the다올</t>
        </is>
      </c>
      <c r="T1139" s="4" t="n">
        <v>1</v>
      </c>
      <c r="U1139" s="5" t="n">
        <v>204.6</v>
      </c>
      <c r="V1139" s="4" t="n">
        <v>327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세로각지(가)</t>
        </is>
      </c>
    </row>
    <row r="1140">
      <c r="A1140" s="3" t="inlineStr">
        <is>
          <t>장군면 금암리 314-13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130000</v>
      </c>
      <c r="H1140" s="4" t="n">
        <v>0</v>
      </c>
      <c r="I1140" s="4" t="n">
        <v>464</v>
      </c>
      <c r="J1140" s="4" t="n">
        <v>140</v>
      </c>
      <c r="K1140" s="5" t="n">
        <v>928.6</v>
      </c>
      <c r="L1140" s="4" t="n">
        <v>191</v>
      </c>
      <c r="M1140" s="4" t="n">
        <v>58</v>
      </c>
      <c r="N1140" s="5" t="n">
        <v>2241.4</v>
      </c>
      <c r="O1140" s="3" t="inlineStr">
        <is>
          <t>시원한 뻥뷰 대지 넓은 청벽마을 사계절예쁜</t>
        </is>
      </c>
      <c r="P1140" s="6">
        <f>HYPERLINK("https://fin.land.naver.com/articles/2651733839", "매물Link")</f>
        <v/>
      </c>
      <c r="Q1140" s="6">
        <f>HYPERLINK("https://map.naver.com/p/search/장군면 금암리 314-13", "지도Link")</f>
        <v/>
      </c>
      <c r="R1140" s="6">
        <f>HYPERLINK("http://www.eum.go.kr/web/ar/lu/luLandDet.jsp?pnu=3611035025103140013&amp;isNoScr=script&amp;mode=search", "토지이음")</f>
        <v/>
      </c>
      <c r="S1140" s="3" t="inlineStr">
        <is>
          <t>THE행복</t>
        </is>
      </c>
      <c r="T1140" s="4" t="n">
        <v>1</v>
      </c>
      <c r="U1140" s="5" t="n">
        <v>200.6</v>
      </c>
      <c r="V1140" s="4" t="n">
        <v>464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314-20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67000</v>
      </c>
      <c r="H1141" s="4" t="n">
        <v>0</v>
      </c>
      <c r="I1141" s="4" t="n">
        <v>523</v>
      </c>
      <c r="J1141" s="4" t="n">
        <v>158</v>
      </c>
      <c r="K1141" s="5" t="n">
        <v>424.1</v>
      </c>
      <c r="L1141" s="4" t="n">
        <v>95</v>
      </c>
      <c r="M1141" s="4" t="n">
        <v>29</v>
      </c>
      <c r="N1141" s="5" t="n">
        <v>2310.3</v>
      </c>
      <c r="O1141" s="3" t="inlineStr">
        <is>
          <t>복층  집 청벽마을 입주 매수 조건 적극적으로  협의 하시게요</t>
        </is>
      </c>
      <c r="P1141" s="6">
        <f>HYPERLINK("https://fin.land.naver.com/articles/2654651656", "매물Link")</f>
        <v/>
      </c>
      <c r="Q1141" s="6">
        <f>HYPERLINK("https://map.naver.com/p/search/장군면 금암리 314-20", "지도Link")</f>
        <v/>
      </c>
      <c r="R1141" s="6">
        <f>HYPERLINK("http://www.eum.go.kr/web/ar/lu/luLandDet.jsp?pnu=3611035025103140020&amp;isNoScr=script&amp;mode=search", "토지이음")</f>
        <v/>
      </c>
      <c r="S1141" s="3" t="inlineStr">
        <is>
          <t>삼성래미안</t>
        </is>
      </c>
      <c r="T1141" s="4" t="n">
        <v>4</v>
      </c>
      <c r="U1141" s="5" t="n">
        <v>200.6</v>
      </c>
      <c r="V1141" s="4" t="n">
        <v>523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314-20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67000</v>
      </c>
      <c r="H1142" s="4" t="n">
        <v>0</v>
      </c>
      <c r="I1142" s="4" t="n">
        <v>523</v>
      </c>
      <c r="J1142" s="4" t="n">
        <v>158</v>
      </c>
      <c r="K1142" s="5" t="n">
        <v>424.1</v>
      </c>
      <c r="L1142" s="4" t="n">
        <v>95</v>
      </c>
      <c r="M1142" s="4" t="n">
        <v>29</v>
      </c>
      <c r="N1142" s="5" t="n">
        <v>2310.3</v>
      </c>
      <c r="O1142" s="3" t="inlineStr">
        <is>
          <t>nan</t>
        </is>
      </c>
      <c r="P1142" s="6">
        <f>HYPERLINK("https://fin.land.naver.com/articles/2655399853", "매물Link")</f>
        <v/>
      </c>
      <c r="Q1142" s="6">
        <f>HYPERLINK("https://map.naver.com/p/search/장군면 금암리 314-20", "지도Link")</f>
        <v/>
      </c>
      <c r="R1142" s="6">
        <f>HYPERLINK("http://www.eum.go.kr/web/ar/lu/luLandDet.jsp?pnu=3611035025103140020&amp;isNoScr=script&amp;mode=search", "토지이음")</f>
        <v/>
      </c>
      <c r="S1142" s="3" t="inlineStr">
        <is>
          <t>세종참</t>
        </is>
      </c>
      <c r="T1142" s="4" t="n">
        <v>2</v>
      </c>
      <c r="U1142" s="5" t="n">
        <v>200.6</v>
      </c>
      <c r="V1142" s="4" t="n">
        <v>523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314-24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434</v>
      </c>
      <c r="J1143" s="4" t="n">
        <v>131</v>
      </c>
      <c r="K1143" s="5" t="n">
        <v>572.5</v>
      </c>
      <c r="L1143" s="4" t="n">
        <v>173</v>
      </c>
      <c r="M1143" s="4" t="n">
        <v>52</v>
      </c>
      <c r="N1143" s="5" t="n">
        <v>1442.3</v>
      </c>
      <c r="O1143" s="3" t="inlineStr">
        <is>
          <t>금암리 귀한 주택. 전화주셔요</t>
        </is>
      </c>
      <c r="P1143" s="6">
        <f>HYPERLINK("https://fin.land.naver.com/articles/2652834506", "매물Link")</f>
        <v/>
      </c>
      <c r="Q1143" s="6">
        <f>HYPERLINK("https://map.naver.com/p/search/장군면 금암리 314-24", "지도Link")</f>
        <v/>
      </c>
      <c r="R1143" s="6">
        <f>HYPERLINK("http://www.eum.go.kr/web/ar/lu/luLandDet.jsp?pnu=3611035025103140024&amp;isNoScr=script&amp;mode=search", "토지이음")</f>
        <v/>
      </c>
      <c r="S1143" s="3" t="inlineStr">
        <is>
          <t>최무연</t>
        </is>
      </c>
      <c r="T1143" s="4" t="n">
        <v>1</v>
      </c>
      <c r="U1143" s="5" t="n">
        <v>200.6</v>
      </c>
      <c r="V1143" s="4" t="n">
        <v>434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314-24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75000</v>
      </c>
      <c r="H1144" s="4" t="n">
        <v>0</v>
      </c>
      <c r="I1144" s="4" t="n">
        <v>434</v>
      </c>
      <c r="J1144" s="4" t="n">
        <v>131</v>
      </c>
      <c r="K1144" s="5" t="n">
        <v>572.5</v>
      </c>
      <c r="L1144" s="4" t="n">
        <v>173</v>
      </c>
      <c r="M1144" s="4" t="n">
        <v>52</v>
      </c>
      <c r="N1144" s="5" t="n">
        <v>1442.3</v>
      </c>
      <c r="O1144" s="3" t="inlineStr">
        <is>
          <t>청벽마을 청벽의 절경 금강 뷰 최상, 아담한 태양열 전원주택,가격조정가능</t>
        </is>
      </c>
      <c r="P1144" s="6">
        <f>HYPERLINK("https://fin.land.naver.com/articles/2653220866", "매물Link")</f>
        <v/>
      </c>
      <c r="Q1144" s="6">
        <f>HYPERLINK("https://map.naver.com/p/search/장군면 금암리 314-24", "지도Link")</f>
        <v/>
      </c>
      <c r="R1144" s="6">
        <f>HYPERLINK("http://www.eum.go.kr/web/ar/lu/luLandDet.jsp?pnu=3611035025103140024&amp;isNoScr=script&amp;mode=search", "토지이음")</f>
        <v/>
      </c>
      <c r="S1144" s="3" t="inlineStr">
        <is>
          <t>고운맘</t>
        </is>
      </c>
      <c r="T1144" s="4" t="n">
        <v>1</v>
      </c>
      <c r="U1144" s="5" t="n">
        <v>200.6</v>
      </c>
      <c r="V1144" s="4" t="n">
        <v>434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314-71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95000</v>
      </c>
      <c r="H1145" s="4" t="n">
        <v>0</v>
      </c>
      <c r="I1145" s="4" t="n">
        <v>597</v>
      </c>
      <c r="J1145" s="4" t="n">
        <v>181</v>
      </c>
      <c r="K1145" s="5" t="n">
        <v>524.9</v>
      </c>
      <c r="L1145" s="4" t="n">
        <v>150</v>
      </c>
      <c r="M1145" s="4" t="n">
        <v>45</v>
      </c>
      <c r="N1145" s="5" t="n">
        <v>2111.1</v>
      </c>
      <c r="O1145" s="3" t="inlineStr">
        <is>
          <t>수목원앞 위치한 전원마을 단독주택</t>
        </is>
      </c>
      <c r="P1145" s="6">
        <f>HYPERLINK("https://fin.land.naver.com/articles/2656160326", "매물Link")</f>
        <v/>
      </c>
      <c r="Q1145" s="6">
        <f>HYPERLINK("https://map.naver.com/p/search/장군면 금암리 314-71", "지도Link")</f>
        <v/>
      </c>
      <c r="R1145" s="6">
        <f>HYPERLINK("http://www.eum.go.kr/web/ar/lu/luLandDet.jsp?pnu=3611035025103140071&amp;isNoScr=script&amp;mode=search", "토지이음")</f>
        <v/>
      </c>
      <c r="S1145" s="3" t="inlineStr">
        <is>
          <t>해들마루</t>
        </is>
      </c>
      <c r="T1145" s="4" t="n">
        <v>1</v>
      </c>
      <c r="U1145" s="5" t="n">
        <v>200.6</v>
      </c>
      <c r="V1145" s="4" t="n">
        <v>597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314-84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632</v>
      </c>
      <c r="J1146" s="4" t="n">
        <v>191</v>
      </c>
      <c r="K1146" s="5" t="n">
        <v>628.3</v>
      </c>
      <c r="L1146" s="4" t="n">
        <v>189</v>
      </c>
      <c r="M1146" s="4" t="n">
        <v>57</v>
      </c>
      <c r="N1146" s="5" t="n">
        <v>2105.3</v>
      </c>
      <c r="O1146" s="3" t="inlineStr">
        <is>
          <t>도심의 접근성과 힐링형 주거지, 입체적인 정원, 마당 활용도 높음</t>
        </is>
      </c>
      <c r="P1146" s="6">
        <f>HYPERLINK("https://fin.land.naver.com/articles/2652685633", "매물Link")</f>
        <v/>
      </c>
      <c r="Q1146" s="6">
        <f>HYPERLINK("https://map.naver.com/p/search/장군면 금암리 314-84", "지도Link")</f>
        <v/>
      </c>
      <c r="R1146" s="6">
        <f>HYPERLINK("http://www.eum.go.kr/web/ar/lu/luLandDet.jsp?pnu=3611035025103140084&amp;isNoScr=script&amp;mode=search", "토지이음")</f>
        <v/>
      </c>
      <c r="S1146" s="3" t="inlineStr">
        <is>
          <t>죽전역에일린의뜰</t>
        </is>
      </c>
      <c r="T1146" s="4" t="n">
        <v>1</v>
      </c>
      <c r="U1146" s="5" t="n">
        <v>200.6</v>
      </c>
      <c r="V1146" s="4" t="n">
        <v>632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정방형</t>
        </is>
      </c>
      <c r="AA1146" s="3" t="inlineStr">
        <is>
          <t>세로한면(가)</t>
        </is>
      </c>
    </row>
    <row r="1147">
      <c r="A1147" s="3" t="inlineStr">
        <is>
          <t>장군면 금암리 378-29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150000</v>
      </c>
      <c r="H1147" s="4" t="n">
        <v>0</v>
      </c>
      <c r="I1147" s="4" t="n">
        <v>495</v>
      </c>
      <c r="J1147" s="4" t="n">
        <v>150</v>
      </c>
      <c r="K1147" s="5" t="n">
        <v>1000</v>
      </c>
      <c r="L1147" s="4" t="n">
        <v>368</v>
      </c>
      <c r="M1147" s="4" t="n">
        <v>111</v>
      </c>
      <c r="N1147" s="5" t="n">
        <v>1351.4</v>
      </c>
      <c r="O1147" s="3" t="inlineStr">
        <is>
          <t>금강방향전망최고,갤러리처럼 이쁘고 멋지게 건축한집</t>
        </is>
      </c>
      <c r="P1147" s="6">
        <f>HYPERLINK("https://fin.land.naver.com/articles/2655842961", "매물Link")</f>
        <v/>
      </c>
      <c r="Q1147" s="6">
        <f>HYPERLINK("https://map.naver.com/p/search/장군면 금암리 378-29", "지도Link")</f>
        <v/>
      </c>
      <c r="R1147" s="6">
        <f>HYPERLINK("http://www.eum.go.kr/web/ar/lu/luLandDet.jsp?pnu=3611035025103780029&amp;isNoScr=script&amp;mode=search", "토지이음")</f>
        <v/>
      </c>
      <c r="S1147" s="3" t="inlineStr">
        <is>
          <t>뉴평화2</t>
        </is>
      </c>
      <c r="T1147" s="4" t="n">
        <v>1</v>
      </c>
      <c r="U1147" s="5" t="n">
        <v>196.2</v>
      </c>
      <c r="V1147" s="4" t="n">
        <v>495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378-29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169000</v>
      </c>
      <c r="H1148" s="4" t="n">
        <v>0</v>
      </c>
      <c r="I1148" s="4" t="n">
        <v>495</v>
      </c>
      <c r="J1148" s="4" t="n">
        <v>150</v>
      </c>
      <c r="K1148" s="5" t="n">
        <v>1126.7</v>
      </c>
      <c r="L1148" s="4" t="n">
        <v>368</v>
      </c>
      <c r="M1148" s="4" t="n">
        <v>111</v>
      </c>
      <c r="N1148" s="5" t="n">
        <v>1522.5</v>
      </c>
      <c r="O1148" s="3" t="inlineStr">
        <is>
          <t>앞에는 금강뷰가 환상적인 단독주택,뒤에는 산조망권</t>
        </is>
      </c>
      <c r="P1148" s="6">
        <f>HYPERLINK("https://fin.land.naver.com/articles/2653123650", "매물Link")</f>
        <v/>
      </c>
      <c r="Q1148" s="6">
        <f>HYPERLINK("https://map.naver.com/p/search/장군면 금암리 378-29", "지도Link")</f>
        <v/>
      </c>
      <c r="R1148" s="6">
        <f>HYPERLINK("http://www.eum.go.kr/web/ar/lu/luLandDet.jsp?pnu=3611035025103780029&amp;isNoScr=script&amp;mode=search", "토지이음")</f>
        <v/>
      </c>
      <c r="S1148" s="3" t="inlineStr">
        <is>
          <t>다산</t>
        </is>
      </c>
      <c r="T1148" s="4" t="n">
        <v>1</v>
      </c>
      <c r="U1148" s="5" t="n">
        <v>196.2</v>
      </c>
      <c r="V1148" s="4" t="n">
        <v>495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378-43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150000</v>
      </c>
      <c r="H1149" s="4" t="n">
        <v>0</v>
      </c>
      <c r="I1149" s="4" t="n">
        <v>585</v>
      </c>
      <c r="J1149" s="4" t="n">
        <v>177</v>
      </c>
      <c r="K1149" s="5" t="n">
        <v>847.5</v>
      </c>
      <c r="L1149" s="4" t="n">
        <v>230</v>
      </c>
      <c r="M1149" s="4" t="n">
        <v>70</v>
      </c>
      <c r="N1149" s="5" t="n">
        <v>2142.9</v>
      </c>
      <c r="O1149" s="3" t="inlineStr">
        <is>
          <t>예쁜 2층 주택, 금강뷰, 펜션, 월세</t>
        </is>
      </c>
      <c r="P1149" s="6">
        <f>HYPERLINK("https://fin.land.naver.com/articles/2655013472", "매물Link")</f>
        <v/>
      </c>
      <c r="Q1149" s="6">
        <f>HYPERLINK("https://map.naver.com/p/search/장군면 금암리 378-43", "지도Link")</f>
        <v/>
      </c>
      <c r="R1149" s="6">
        <f>HYPERLINK("http://www.eum.go.kr/web/ar/lu/luLandDet.jsp?pnu=3611035025103780043&amp;isNoScr=script&amp;mode=search", "토지이음")</f>
        <v/>
      </c>
      <c r="S1149" s="3" t="inlineStr">
        <is>
          <t>한뜰금빛</t>
        </is>
      </c>
      <c r="T1149" s="4" t="n">
        <v>1</v>
      </c>
      <c r="U1149" s="5" t="n">
        <v>198.1</v>
      </c>
      <c r="V1149" s="4" t="n">
        <v>585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세로장방</t>
        </is>
      </c>
      <c r="AA1149" s="3" t="inlineStr">
        <is>
          <t>세로한면(가)</t>
        </is>
      </c>
    </row>
    <row r="1150">
      <c r="A1150" s="3" t="inlineStr">
        <is>
          <t>장군면 금암리 378-43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585</v>
      </c>
      <c r="J1150" s="4" t="n">
        <v>177</v>
      </c>
      <c r="K1150" s="5" t="n">
        <v>847.5</v>
      </c>
      <c r="L1150" s="4" t="n">
        <v>42</v>
      </c>
      <c r="M1150" s="4" t="n">
        <v>13</v>
      </c>
      <c r="N1150" s="5" t="n">
        <v>11538.5</v>
      </c>
      <c r="O1150" s="3" t="inlineStr">
        <is>
          <t>뷰가 좋은 금암리 유일의 주택</t>
        </is>
      </c>
      <c r="P1150" s="6">
        <f>HYPERLINK("https://fin.land.naver.com/articles/2655699429", "매물Link")</f>
        <v/>
      </c>
      <c r="Q1150" s="6">
        <f>HYPERLINK("https://map.naver.com/p/search/장군면 금암리 378-43", "지도Link")</f>
        <v/>
      </c>
      <c r="R1150" s="6">
        <f>HYPERLINK("http://www.eum.go.kr/web/ar/lu/luLandDet.jsp?pnu=3611035025103780043&amp;isNoScr=script&amp;mode=search", "토지이음")</f>
        <v/>
      </c>
      <c r="S1150" s="3" t="inlineStr">
        <is>
          <t>최무연</t>
        </is>
      </c>
      <c r="T1150" s="4" t="n">
        <v>2</v>
      </c>
      <c r="U1150" s="5" t="n">
        <v>198.1</v>
      </c>
      <c r="V1150" s="4" t="n">
        <v>585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세로장방</t>
        </is>
      </c>
      <c r="AA1150" s="3" t="inlineStr">
        <is>
          <t>세로한면(가)</t>
        </is>
      </c>
    </row>
    <row r="1151">
      <c r="A1151" s="3" t="inlineStr">
        <is>
          <t>장군면 금암리 378-43</t>
        </is>
      </c>
      <c r="B1151" s="3" t="inlineStr">
        <is>
          <t>보전관리지역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단독</t>
        </is>
      </c>
      <c r="F1151" s="3" t="inlineStr">
        <is>
          <t>전세</t>
        </is>
      </c>
      <c r="G1151" s="4" t="n">
        <v>25000</v>
      </c>
      <c r="H1151" s="4" t="n">
        <v>0</v>
      </c>
      <c r="I1151" s="4" t="n">
        <v>0</v>
      </c>
      <c r="J1151" s="4" t="n">
        <v>0</v>
      </c>
      <c r="K1151" s="5" t="n">
        <v>0</v>
      </c>
      <c r="L1151" s="4" t="n">
        <v>187</v>
      </c>
      <c r="M1151" s="4" t="n">
        <v>57</v>
      </c>
      <c r="N1151" s="5" t="n">
        <v>438.6</v>
      </c>
      <c r="O1151" s="3" t="inlineStr">
        <is>
          <t>명성공인, 2층 중 1층만 사용, 금암리 주택 전세 추천 매물</t>
        </is>
      </c>
      <c r="P1151" s="6">
        <f>HYPERLINK("https://fin.land.naver.com/articles/2651701640", "매물Link")</f>
        <v/>
      </c>
      <c r="Q1151" s="6">
        <f>HYPERLINK("https://map.naver.com/p/search/장군면 금암리 378-43", "지도Link")</f>
        <v/>
      </c>
      <c r="R1151" s="6">
        <f>HYPERLINK("http://www.eum.go.kr/web/ar/lu/luLandDet.jsp?pnu=3611035025103780043&amp;isNoScr=script&amp;mode=search", "토지이음")</f>
        <v/>
      </c>
      <c r="S1151" s="3" t="inlineStr">
        <is>
          <t>명성</t>
        </is>
      </c>
      <c r="T1151" s="4" t="n">
        <v>1</v>
      </c>
      <c r="U1151" s="5" t="n">
        <v>198.1</v>
      </c>
      <c r="V1151" s="4" t="n">
        <v>585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세로장방</t>
        </is>
      </c>
      <c r="AA1151" s="3" t="inlineStr">
        <is>
          <t>세로한면(가)</t>
        </is>
      </c>
    </row>
    <row r="1152">
      <c r="A1152" s="3" t="inlineStr">
        <is>
          <t>장군면 금암리 378-43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1</t>
        </is>
      </c>
      <c r="E1152" s="3" t="inlineStr">
        <is>
          <t>단독</t>
        </is>
      </c>
      <c r="F1152" s="3" t="inlineStr">
        <is>
          <t>전세</t>
        </is>
      </c>
      <c r="G1152" s="4" t="n">
        <v>25000</v>
      </c>
      <c r="H1152" s="4" t="n">
        <v>0</v>
      </c>
      <c r="I1152" s="4" t="n">
        <v>96</v>
      </c>
      <c r="J1152" s="4" t="n">
        <v>29</v>
      </c>
      <c r="K1152" s="5" t="n">
        <v>862.1</v>
      </c>
      <c r="L1152" s="4" t="n">
        <v>96</v>
      </c>
      <c r="M1152" s="4" t="n">
        <v>29</v>
      </c>
      <c r="N1152" s="5" t="n">
        <v>862.1</v>
      </c>
      <c r="O1152" s="3" t="inlineStr">
        <is>
          <t>전원주택 1층 무융자 전세</t>
        </is>
      </c>
      <c r="P1152" s="6">
        <f>HYPERLINK("https://fin.land.naver.com/articles/2654519341", "매물Link")</f>
        <v/>
      </c>
      <c r="Q1152" s="6">
        <f>HYPERLINK("https://map.naver.com/p/search/장군면 금암리 378-43", "지도Link")</f>
        <v/>
      </c>
      <c r="R1152" s="6">
        <f>HYPERLINK("http://www.eum.go.kr/web/ar/lu/luLandDet.jsp?pnu=3611035025103780043&amp;isNoScr=script&amp;mode=search", "토지이음")</f>
        <v/>
      </c>
      <c r="S1152" s="3" t="inlineStr">
        <is>
          <t>THE행복</t>
        </is>
      </c>
      <c r="T1152" s="4" t="n">
        <v>2</v>
      </c>
      <c r="U1152" s="5" t="n">
        <v>198.1</v>
      </c>
      <c r="V1152" s="4" t="n">
        <v>585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세로장방</t>
        </is>
      </c>
      <c r="AA1152" s="3" t="inlineStr">
        <is>
          <t>세로한면(가)</t>
        </is>
      </c>
    </row>
    <row r="1153">
      <c r="A1153" s="3" t="inlineStr">
        <is>
          <t>장군면 금암리 378-81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120000</v>
      </c>
      <c r="H1153" s="4" t="n">
        <v>0</v>
      </c>
      <c r="I1153" s="4" t="n">
        <v>587</v>
      </c>
      <c r="J1153" s="4" t="n">
        <v>178</v>
      </c>
      <c r="K1153" s="5" t="n">
        <v>674.2</v>
      </c>
      <c r="L1153" s="4" t="n">
        <v>191</v>
      </c>
      <c r="M1153" s="4" t="n">
        <v>58</v>
      </c>
      <c r="N1153" s="5" t="n">
        <v>2069</v>
      </c>
      <c r="O1153" s="3" t="inlineStr">
        <is>
          <t>풍경채마을 .한옥주택 소나무 자재썼구요  태양광 ,지열난방 사용하고있어요</t>
        </is>
      </c>
      <c r="P1153" s="6">
        <f>HYPERLINK("https://fin.land.naver.com/articles/2652232177", "매물Link")</f>
        <v/>
      </c>
      <c r="Q1153" s="6">
        <f>HYPERLINK("https://map.naver.com/p/search/장군면 금암리 378-81", "지도Link")</f>
        <v/>
      </c>
      <c r="R1153" s="6">
        <f>HYPERLINK("http://www.eum.go.kr/web/ar/lu/luLandDet.jsp?pnu=3611035025103780081&amp;isNoScr=script&amp;mode=search", "토지이음")</f>
        <v/>
      </c>
      <c r="S1153" s="3" t="inlineStr">
        <is>
          <t>생명나무</t>
        </is>
      </c>
      <c r="T1153" s="4" t="n">
        <v>1</v>
      </c>
      <c r="U1153" s="5" t="n">
        <v>196.2</v>
      </c>
      <c r="V1153" s="4" t="n">
        <v>587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가로장방</t>
        </is>
      </c>
      <c r="AA1153" s="3" t="inlineStr">
        <is>
          <t>세로한면(가)</t>
        </is>
      </c>
    </row>
    <row r="1154">
      <c r="A1154" s="3" t="inlineStr">
        <is>
          <t>장군면 금암리 378-90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130000</v>
      </c>
      <c r="H1154" s="4" t="n">
        <v>0</v>
      </c>
      <c r="I1154" s="4" t="n">
        <v>660</v>
      </c>
      <c r="J1154" s="4" t="n">
        <v>200</v>
      </c>
      <c r="K1154" s="5" t="n">
        <v>650</v>
      </c>
      <c r="L1154" s="4" t="n">
        <v>198</v>
      </c>
      <c r="M1154" s="4" t="n">
        <v>60</v>
      </c>
      <c r="N1154" s="5" t="n">
        <v>2166.7</v>
      </c>
      <c r="O1154" s="3" t="inlineStr">
        <is>
          <t>넓은 대지에 조망이 멋진 주택(금강 및 청벽산 뷰)</t>
        </is>
      </c>
      <c r="P1154" s="6">
        <f>HYPERLINK("https://fin.land.naver.com/articles/2652838805", "매물Link")</f>
        <v/>
      </c>
      <c r="Q1154" s="6">
        <f>HYPERLINK("https://map.naver.com/p/search/장군면 금암리 378-90", "지도Link")</f>
        <v/>
      </c>
      <c r="R1154" s="6">
        <f>HYPERLINK("http://www.eum.go.kr/web/ar/lu/luLandDet.jsp?pnu=3611035025103780090&amp;isNoScr=script&amp;mode=search", "토지이음")</f>
        <v/>
      </c>
      <c r="S1154" s="3" t="inlineStr">
        <is>
          <t>원조대박</t>
        </is>
      </c>
      <c r="T1154" s="4" t="n">
        <v>1</v>
      </c>
      <c r="U1154" s="5" t="n">
        <v>196.2</v>
      </c>
      <c r="V1154" s="4" t="n">
        <v>660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금암리 378-90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130000</v>
      </c>
      <c r="H1155" s="4" t="n">
        <v>0</v>
      </c>
      <c r="I1155" s="4" t="n">
        <v>660</v>
      </c>
      <c r="J1155" s="4" t="n">
        <v>200</v>
      </c>
      <c r="K1155" s="5" t="n">
        <v>650</v>
      </c>
      <c r="L1155" s="4" t="n">
        <v>198</v>
      </c>
      <c r="M1155" s="4" t="n">
        <v>60</v>
      </c>
      <c r="N1155" s="5" t="n">
        <v>2166.7</v>
      </c>
      <c r="O1155" s="3" t="inlineStr">
        <is>
          <t>장군면 마당이 예쁜 단독주택, 주차가능</t>
        </is>
      </c>
      <c r="P1155" s="6">
        <f>HYPERLINK("https://fin.land.naver.com/articles/2655846056", "매물Link")</f>
        <v/>
      </c>
      <c r="Q1155" s="6">
        <f>HYPERLINK("https://map.naver.com/p/search/장군면 금암리 378-90", "지도Link")</f>
        <v/>
      </c>
      <c r="R1155" s="6">
        <f>HYPERLINK("http://www.eum.go.kr/web/ar/lu/luLandDet.jsp?pnu=3611035025103780090&amp;isNoScr=script&amp;mode=search", "토지이음")</f>
        <v/>
      </c>
      <c r="S1155" s="3" t="inlineStr">
        <is>
          <t>명진</t>
        </is>
      </c>
      <c r="T1155" s="4" t="n">
        <v>1</v>
      </c>
      <c r="U1155" s="5" t="n">
        <v>196.2</v>
      </c>
      <c r="V1155" s="4" t="n">
        <v>660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금암리 378-90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130000</v>
      </c>
      <c r="H1156" s="4" t="n">
        <v>0</v>
      </c>
      <c r="I1156" s="4" t="n">
        <v>660</v>
      </c>
      <c r="J1156" s="4" t="n">
        <v>200</v>
      </c>
      <c r="K1156" s="5" t="n">
        <v>650</v>
      </c>
      <c r="L1156" s="4" t="n">
        <v>198</v>
      </c>
      <c r="M1156" s="4" t="n">
        <v>60</v>
      </c>
      <c r="N1156" s="5" t="n">
        <v>2166.7</v>
      </c>
      <c r="O1156" s="3" t="inlineStr">
        <is>
          <t>세종시 전망 최고의 뷰를 자랑하는 전원 주택</t>
        </is>
      </c>
      <c r="P1156" s="6">
        <f>HYPERLINK("https://fin.land.naver.com/articles/2655978084", "매물Link")</f>
        <v/>
      </c>
      <c r="Q1156" s="6">
        <f>HYPERLINK("https://map.naver.com/p/search/장군면 금암리 378-90", "지도Link")</f>
        <v/>
      </c>
      <c r="R1156" s="6">
        <f>HYPERLINK("http://www.eum.go.kr/web/ar/lu/luLandDet.jsp?pnu=3611035025103780090&amp;isNoScr=script&amp;mode=search", "토지이음")</f>
        <v/>
      </c>
      <c r="S1156" s="3" t="inlineStr">
        <is>
          <t>상상</t>
        </is>
      </c>
      <c r="T1156" s="4" t="n">
        <v>1</v>
      </c>
      <c r="U1156" s="5" t="n">
        <v>196.2</v>
      </c>
      <c r="V1156" s="4" t="n">
        <v>660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금암리 387-4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35000</v>
      </c>
      <c r="H1157" s="4" t="n">
        <v>0</v>
      </c>
      <c r="I1157" s="4" t="n">
        <v>314</v>
      </c>
      <c r="J1157" s="4" t="n">
        <v>95</v>
      </c>
      <c r="K1157" s="5" t="n">
        <v>368.4</v>
      </c>
      <c r="L1157" s="4" t="n">
        <v>442</v>
      </c>
      <c r="M1157" s="4" t="n">
        <v>134</v>
      </c>
      <c r="N1157" s="5" t="n">
        <v>261.2</v>
      </c>
      <c r="O1157" s="3" t="inlineStr">
        <is>
          <t>수익률 좋은 대학원룸가, 정류장 앞, 풀옵션</t>
        </is>
      </c>
      <c r="P1157" s="6">
        <f>HYPERLINK("https://fin.land.naver.com/articles/2654032785", "매물Link")</f>
        <v/>
      </c>
      <c r="Q1157" s="6">
        <f>HYPERLINK("https://map.naver.com/p/search/장군면 금암리 387-4", "지도Link")</f>
        <v/>
      </c>
      <c r="R1157" s="6">
        <f>HYPERLINK("http://www.eum.go.kr/web/ar/lu/luLandDet.jsp?pnu=3611035025103870004&amp;isNoScr=script&amp;mode=search", "토지이음")</f>
        <v/>
      </c>
      <c r="S1157" s="3" t="inlineStr">
        <is>
          <t>한뜰금빛</t>
        </is>
      </c>
      <c r="T1157" s="4" t="n">
        <v>1</v>
      </c>
      <c r="U1157" s="5" t="n">
        <v>94.90000000000001</v>
      </c>
      <c r="V1157" s="4" t="n">
        <v>314</v>
      </c>
      <c r="W1157" s="3" t="inlineStr">
        <is>
          <t>지정되지않음</t>
        </is>
      </c>
      <c r="X1157" s="3" t="inlineStr">
        <is>
          <t>연립</t>
        </is>
      </c>
      <c r="Y1157" s="3" t="inlineStr">
        <is>
          <t>평지</t>
        </is>
      </c>
      <c r="Z1157" s="3" t="inlineStr">
        <is>
          <t>자루형</t>
        </is>
      </c>
      <c r="AA1157" s="3" t="inlineStr">
        <is>
          <t>소로한면</t>
        </is>
      </c>
    </row>
    <row r="1158">
      <c r="A1158" s="3" t="inlineStr">
        <is>
          <t>장군면 대교리 147-62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83000</v>
      </c>
      <c r="H1158" s="4" t="n">
        <v>0</v>
      </c>
      <c r="I1158" s="4" t="n">
        <v>226</v>
      </c>
      <c r="J1158" s="4" t="n">
        <v>68</v>
      </c>
      <c r="K1158" s="5" t="n">
        <v>1220.6</v>
      </c>
      <c r="L1158" s="4" t="n">
        <v>175</v>
      </c>
      <c r="M1158" s="4" t="n">
        <v>53</v>
      </c>
      <c r="N1158" s="5" t="n">
        <v>1566</v>
      </c>
      <c r="O1158" s="3" t="inlineStr">
        <is>
          <t>친환경 제로에너지마을,최상의 자재및컨디션,보시면 반할 전원주택뷰</t>
        </is>
      </c>
      <c r="P1158" s="6">
        <f>HYPERLINK("https://fin.land.naver.com/articles/2653696888", "매물Link")</f>
        <v/>
      </c>
      <c r="Q1158" s="6">
        <f>HYPERLINK("https://map.naver.com/p/search/장군면 대교리 147-62", "지도Link")</f>
        <v/>
      </c>
      <c r="R1158" s="6">
        <f>HYPERLINK("http://www.eum.go.kr/web/ar/lu/luLandDet.jsp?pnu=3611035023101470062&amp;isNoScr=script&amp;mode=search", "토지이음")</f>
        <v/>
      </c>
      <c r="S1158" s="3" t="inlineStr">
        <is>
          <t>더책임</t>
        </is>
      </c>
      <c r="T1158" s="4" t="n">
        <v>1</v>
      </c>
      <c r="U1158" s="5" t="n">
        <v>182.9</v>
      </c>
      <c r="V1158" s="4" t="n">
        <v>226</v>
      </c>
      <c r="W1158" s="3" t="inlineStr">
        <is>
          <t>보전관리지역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147-67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45000</v>
      </c>
      <c r="H1159" s="4" t="n">
        <v>0</v>
      </c>
      <c r="I1159" s="4" t="n">
        <v>263</v>
      </c>
      <c r="J1159" s="4" t="n">
        <v>80</v>
      </c>
      <c r="K1159" s="5" t="n">
        <v>562.5</v>
      </c>
      <c r="L1159" s="4" t="n">
        <v>122</v>
      </c>
      <c r="M1159" s="4" t="n">
        <v>37</v>
      </c>
      <c r="N1159" s="5" t="n">
        <v>1216.2</v>
      </c>
      <c r="O1159" s="3" t="inlineStr">
        <is>
          <t>입주협의 저렴한장군면단독주택입니다.</t>
        </is>
      </c>
      <c r="P1159" s="6">
        <f>HYPERLINK("https://fin.land.naver.com/articles/2654260371", "매물Link")</f>
        <v/>
      </c>
      <c r="Q1159" s="6">
        <f>HYPERLINK("https://map.naver.com/p/search/장군면 대교리 147-67", "지도Link")</f>
        <v/>
      </c>
      <c r="R1159" s="6">
        <f>HYPERLINK("http://www.eum.go.kr/web/ar/lu/luLandDet.jsp?pnu=3611035023101470067&amp;isNoScr=script&amp;mode=search", "토지이음")</f>
        <v/>
      </c>
      <c r="S1159" s="3" t="inlineStr">
        <is>
          <t>새롬스마트</t>
        </is>
      </c>
      <c r="T1159" s="4" t="n">
        <v>2</v>
      </c>
      <c r="U1159" s="5" t="n">
        <v>183.1</v>
      </c>
      <c r="V1159" s="4" t="n">
        <v>223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147-67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223</v>
      </c>
      <c r="J1160" s="4" t="n">
        <v>67</v>
      </c>
      <c r="K1160" s="5" t="n">
        <v>656.7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HYPERLINK("https://fin.land.naver.com/articles/2651742228", "매물Link")</f>
        <v/>
      </c>
      <c r="Q1160" s="6">
        <f>HYPERLINK("https://map.naver.com/p/search/장군면 대교리 147-67", "지도Link")</f>
        <v/>
      </c>
      <c r="R1160" s="6">
        <f>HYPERLINK("http://www.eum.go.kr/web/ar/lu/luLandDet.jsp?pnu=3611035023101470067&amp;isNoScr=script&amp;mode=search",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223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147-67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42000</v>
      </c>
      <c r="H1161" s="4" t="n">
        <v>0</v>
      </c>
      <c r="I1161" s="4" t="n">
        <v>223</v>
      </c>
      <c r="J1161" s="4" t="n">
        <v>67</v>
      </c>
      <c r="K1161" s="5" t="n">
        <v>626.9</v>
      </c>
      <c r="L1161" s="4" t="n">
        <v>122</v>
      </c>
      <c r="M1161" s="4" t="n">
        <v>37</v>
      </c>
      <c r="N1161" s="5" t="n">
        <v>1135.1</v>
      </c>
      <c r="O1161" s="3" t="inlineStr">
        <is>
          <t>전원생활의 로망을 생활권가까이로, 접근성과 효율성좋은 주택, 실입주가</t>
        </is>
      </c>
      <c r="P1161" s="6">
        <f>HYPERLINK("https://fin.land.naver.com/articles/2652908549", "매물Link")</f>
        <v/>
      </c>
      <c r="Q1161" s="6">
        <f>HYPERLINK("https://map.naver.com/p/search/장군면 대교리 147-67", "지도Link")</f>
        <v/>
      </c>
      <c r="R1161" s="6">
        <f>HYPERLINK("http://www.eum.go.kr/web/ar/lu/luLandDet.jsp?pnu=3611035023101470067&amp;isNoScr=script&amp;mode=search", "토지이음")</f>
        <v/>
      </c>
      <c r="S1161" s="3" t="inlineStr">
        <is>
          <t>세종복댕이</t>
        </is>
      </c>
      <c r="T1161" s="4" t="n">
        <v>1</v>
      </c>
      <c r="U1161" s="5" t="n">
        <v>183.1</v>
      </c>
      <c r="V1161" s="4" t="n">
        <v>223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147-67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45000</v>
      </c>
      <c r="H1162" s="4" t="n">
        <v>0</v>
      </c>
      <c r="I1162" s="4" t="n">
        <v>223</v>
      </c>
      <c r="J1162" s="4" t="n">
        <v>67</v>
      </c>
      <c r="K1162" s="5" t="n">
        <v>671.6</v>
      </c>
      <c r="L1162" s="4" t="n">
        <v>122</v>
      </c>
      <c r="M1162" s="4" t="n">
        <v>37</v>
      </c>
      <c r="N1162" s="5" t="n">
        <v>1216.2</v>
      </c>
      <c r="O1162" s="3" t="inlineStr">
        <is>
          <t>공실,가격조절가,시스템냉방기6대,친환경자재,친환경에너지 적용, 잔디마당</t>
        </is>
      </c>
      <c r="P1162" s="6">
        <f>HYPERLINK("https://fin.land.naver.com/articles/2651518935", "매물Link")</f>
        <v/>
      </c>
      <c r="Q1162" s="6">
        <f>HYPERLINK("https://map.naver.com/p/search/장군면 대교리 147-67", "지도Link")</f>
        <v/>
      </c>
      <c r="R1162" s="6">
        <f>HYPERLINK("http://www.eum.go.kr/web/ar/lu/luLandDet.jsp?pnu=3611035023101470067&amp;isNoScr=script&amp;mode=search", "토지이음")</f>
        <v/>
      </c>
      <c r="S1162" s="3" t="inlineStr">
        <is>
          <t>만땅</t>
        </is>
      </c>
      <c r="T1162" s="4" t="n">
        <v>1</v>
      </c>
      <c r="U1162" s="5" t="n">
        <v>183.1</v>
      </c>
      <c r="V1162" s="4" t="n">
        <v>223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147-68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45000</v>
      </c>
      <c r="H1163" s="4" t="n">
        <v>0</v>
      </c>
      <c r="I1163" s="4" t="n">
        <v>263</v>
      </c>
      <c r="J1163" s="4" t="n">
        <v>80</v>
      </c>
      <c r="K1163" s="5" t="n">
        <v>562.5</v>
      </c>
      <c r="L1163" s="4" t="n">
        <v>122</v>
      </c>
      <c r="M1163" s="4" t="n">
        <v>37</v>
      </c>
      <c r="N1163" s="5" t="n">
        <v>1216.2</v>
      </c>
      <c r="O1163" s="3" t="inlineStr">
        <is>
          <t>입주협의세종시와5분거리 도심형전원주택 가격조정가능</t>
        </is>
      </c>
      <c r="P1163" s="6">
        <f>HYPERLINK("https://fin.land.naver.com/articles/2654963196", "매물Link")</f>
        <v/>
      </c>
      <c r="Q1163" s="6">
        <f>HYPERLINK("https://map.naver.com/p/search/장군면 대교리 147-68", "지도Link")</f>
        <v/>
      </c>
      <c r="R1163" s="6">
        <f>HYPERLINK("http://www.eum.go.kr/web/ar/lu/luLandDet.jsp?pnu=3611035023101470068&amp;isNoScr=script&amp;mode=search", "토지이음")</f>
        <v/>
      </c>
      <c r="S1163" s="3" t="inlineStr">
        <is>
          <t>세종시토지</t>
        </is>
      </c>
      <c r="T1163" s="4" t="n">
        <v>1</v>
      </c>
      <c r="U1163" s="5" t="n">
        <v>183.1</v>
      </c>
      <c r="V1163" s="4" t="n">
        <v>263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완경사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147-68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44000</v>
      </c>
      <c r="H1164" s="4" t="n">
        <v>0</v>
      </c>
      <c r="I1164" s="4" t="n">
        <v>263</v>
      </c>
      <c r="J1164" s="4" t="n">
        <v>80</v>
      </c>
      <c r="K1164" s="5" t="n">
        <v>550</v>
      </c>
      <c r="L1164" s="4" t="n">
        <v>122</v>
      </c>
      <c r="M1164" s="4" t="n">
        <v>37</v>
      </c>
      <c r="N1164" s="5" t="n">
        <v>1189.2</v>
      </c>
      <c r="O1164" s="3" t="inlineStr">
        <is>
          <t>월세낀 급매,제로에너지 타운하우스,테라스,정원마당</t>
        </is>
      </c>
      <c r="P1164" s="6">
        <f>HYPERLINK("https://fin.land.naver.com/articles/2651742264", "매물Link")</f>
        <v/>
      </c>
      <c r="Q1164" s="6">
        <f>HYPERLINK("https://map.naver.com/p/search/장군면 대교리 147-68", "지도Link")</f>
        <v/>
      </c>
      <c r="R1164" s="6">
        <f>HYPERLINK("http://www.eum.go.kr/web/ar/lu/luLandDet.jsp?pnu=3611035023101470068&amp;isNoScr=script&amp;mode=search", "토지이음")</f>
        <v/>
      </c>
      <c r="S1164" s="3" t="inlineStr">
        <is>
          <t>고운맘</t>
        </is>
      </c>
      <c r="T1164" s="4" t="n">
        <v>1</v>
      </c>
      <c r="U1164" s="5" t="n">
        <v>183.1</v>
      </c>
      <c r="V1164" s="4" t="n">
        <v>263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147-68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45000</v>
      </c>
      <c r="H1165" s="4" t="n">
        <v>0</v>
      </c>
      <c r="I1165" s="4" t="n">
        <v>263</v>
      </c>
      <c r="J1165" s="4" t="n">
        <v>80</v>
      </c>
      <c r="K1165" s="5" t="n">
        <v>562.5</v>
      </c>
      <c r="L1165" s="4" t="n">
        <v>122</v>
      </c>
      <c r="M1165" s="4" t="n">
        <v>37</v>
      </c>
      <c r="N1165" s="5" t="n">
        <v>1216.2</v>
      </c>
      <c r="O1165" s="3" t="inlineStr">
        <is>
          <t>난방비 걱정없는 친환경 주택, 시스템냉방기, 전망좋고 저렴한 전원주택</t>
        </is>
      </c>
      <c r="P1165" s="6">
        <f>HYPERLINK("https://fin.land.naver.com/articles/2651520256", "매물Link")</f>
        <v/>
      </c>
      <c r="Q1165" s="6">
        <f>HYPERLINK("https://map.naver.com/p/search/장군면 대교리 147-68", "지도Link")</f>
        <v/>
      </c>
      <c r="R1165" s="6">
        <f>HYPERLINK("http://www.eum.go.kr/web/ar/lu/luLandDet.jsp?pnu=3611035023101470068&amp;isNoScr=script&amp;mode=search", "토지이음")</f>
        <v/>
      </c>
      <c r="S1165" s="3" t="inlineStr">
        <is>
          <t>만땅</t>
        </is>
      </c>
      <c r="T1165" s="4" t="n">
        <v>1</v>
      </c>
      <c r="U1165" s="5" t="n">
        <v>183.1</v>
      </c>
      <c r="V1165" s="4" t="n">
        <v>263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4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200</v>
      </c>
      <c r="H1166" s="4" t="n">
        <v>28</v>
      </c>
      <c r="I1166" s="4" t="n">
        <v>23</v>
      </c>
      <c r="J1166" s="4" t="n">
        <v>7</v>
      </c>
      <c r="K1166" s="5" t="n">
        <v>4</v>
      </c>
      <c r="L1166" s="4" t="n">
        <v>21</v>
      </c>
      <c r="M1166" s="4" t="n">
        <v>6</v>
      </c>
      <c r="N1166" s="5" t="n">
        <v>4.7</v>
      </c>
      <c r="O1166" s="3" t="inlineStr">
        <is>
          <t>특A급 방 저렴하게 나왔어요 고운동과 가까운 원룸</t>
        </is>
      </c>
      <c r="P1166" s="6">
        <f>HYPERLINK("https://fin.land.naver.com/articles/2656328026", "매물Link")</f>
        <v/>
      </c>
      <c r="Q1166" s="6">
        <f>HYPERLINK("https://map.naver.com/p/search/장군면 대교리 169-11", "지도Link")</f>
        <v/>
      </c>
      <c r="R1166" s="6">
        <f>HYPERLINK("http://www.eum.go.kr/web/ar/lu/luLandDet.jsp?pnu=3611035023101690011&amp;isNoScr=script&amp;mode=search", "토지이음")</f>
        <v/>
      </c>
      <c r="S1166" s="3" t="inlineStr">
        <is>
          <t>황제</t>
        </is>
      </c>
      <c r="T1166" s="4" t="n">
        <v>1</v>
      </c>
      <c r="U1166" s="5" t="n">
        <v>252.6</v>
      </c>
      <c r="V1166" s="4" t="n">
        <v>343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세로한면(가)</t>
        </is>
      </c>
    </row>
    <row r="1167">
      <c r="A1167" s="3" t="inlineStr">
        <is>
          <t>장군면 대교리 169-11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4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200</v>
      </c>
      <c r="H1167" s="4" t="n">
        <v>28</v>
      </c>
      <c r="I1167" s="4" t="n">
        <v>24</v>
      </c>
      <c r="J1167" s="4" t="n">
        <v>7</v>
      </c>
      <c r="K1167" s="5" t="n">
        <v>4</v>
      </c>
      <c r="L1167" s="4" t="n">
        <v>20</v>
      </c>
      <c r="M1167" s="4" t="n">
        <v>6</v>
      </c>
      <c r="N1167" s="5" t="n">
        <v>4.7</v>
      </c>
      <c r="O1167" s="3" t="inlineStr">
        <is>
          <t>00힐링,힐링 남향,화장실 창문  청사인접,공주,서세종IC근교 00</t>
        </is>
      </c>
      <c r="P1167" s="6">
        <f>HYPERLINK("https://fin.land.naver.com/articles/2656003259", "매물Link")</f>
        <v/>
      </c>
      <c r="Q1167" s="6">
        <f>HYPERLINK("https://map.naver.com/p/search/장군면 대교리 169-11", "지도Link")</f>
        <v/>
      </c>
      <c r="R1167" s="6">
        <f>HYPERLINK("http://www.eum.go.kr/web/ar/lu/luLandDet.jsp?pnu=3611035023101690011&amp;isNoScr=script&amp;mode=search", "토지이음")</f>
        <v/>
      </c>
      <c r="S1167" s="3" t="inlineStr">
        <is>
          <t>신황제</t>
        </is>
      </c>
      <c r="T1167" s="4" t="n">
        <v>1</v>
      </c>
      <c r="U1167" s="5" t="n">
        <v>252.6</v>
      </c>
      <c r="V1167" s="4" t="n">
        <v>343</v>
      </c>
      <c r="W1167" s="3" t="inlineStr">
        <is>
          <t>지정되지않음</t>
        </is>
      </c>
      <c r="X1167" s="3" t="inlineStr">
        <is>
          <t>다세대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169-15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76000</v>
      </c>
      <c r="H1168" s="4" t="n">
        <v>0</v>
      </c>
      <c r="I1168" s="4" t="n">
        <v>511</v>
      </c>
      <c r="J1168" s="4" t="n">
        <v>155</v>
      </c>
      <c r="K1168" s="5" t="n">
        <v>490.3</v>
      </c>
      <c r="L1168" s="4" t="n">
        <v>178</v>
      </c>
      <c r="M1168" s="4" t="n">
        <v>54</v>
      </c>
      <c r="N1168" s="5" t="n">
        <v>1407.4</v>
      </c>
      <c r="O1168" s="3" t="inlineStr">
        <is>
          <t>nan</t>
        </is>
      </c>
      <c r="P1168" s="6">
        <f>HYPERLINK("https://fin.land.naver.com/articles/2652677478", "매물Link")</f>
        <v/>
      </c>
      <c r="Q1168" s="6">
        <f>HYPERLINK("https://map.naver.com/p/search/장군면 대교리 169-15", "지도Link")</f>
        <v/>
      </c>
      <c r="R1168" s="6">
        <f>HYPERLINK("http://www.eum.go.kr/web/ar/lu/luLandDet.jsp?pnu=3611035023101690015&amp;isNoScr=script&amp;mode=search", "토지이음")</f>
        <v/>
      </c>
      <c r="S1168" s="3" t="inlineStr">
        <is>
          <t>새땅</t>
        </is>
      </c>
      <c r="T1168" s="4" t="n">
        <v>1</v>
      </c>
      <c r="U1168" s="5" t="n">
        <v>249.9</v>
      </c>
      <c r="V1168" s="4" t="n">
        <v>511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169-15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76000</v>
      </c>
      <c r="H1169" s="4" t="n">
        <v>0</v>
      </c>
      <c r="I1169" s="4" t="n">
        <v>511</v>
      </c>
      <c r="J1169" s="4" t="n">
        <v>155</v>
      </c>
      <c r="K1169" s="5" t="n">
        <v>490.3</v>
      </c>
      <c r="L1169" s="4" t="n">
        <v>178</v>
      </c>
      <c r="M1169" s="4" t="n">
        <v>54</v>
      </c>
      <c r="N1169" s="5" t="n">
        <v>1407.4</v>
      </c>
      <c r="O1169" s="3" t="inlineStr">
        <is>
          <t>고운동 5분 거리에 위치한 조용한 전원 주택입니다</t>
        </is>
      </c>
      <c r="P1169" s="6">
        <f>HYPERLINK("https://fin.land.naver.com/articles/2654678521", "매물Link")</f>
        <v/>
      </c>
      <c r="Q1169" s="6">
        <f>HYPERLINK("https://map.naver.com/p/search/장군면 대교리 169-15", "지도Link")</f>
        <v/>
      </c>
      <c r="R1169" s="6">
        <f>HYPERLINK("http://www.eum.go.kr/web/ar/lu/luLandDet.jsp?pnu=3611035023101690015&amp;isNoScr=script&amp;mode=search", "토지이음")</f>
        <v/>
      </c>
      <c r="S1169" s="3" t="inlineStr">
        <is>
          <t>세종공주원탑</t>
        </is>
      </c>
      <c r="T1169" s="4" t="n">
        <v>1</v>
      </c>
      <c r="U1169" s="5" t="n">
        <v>249.9</v>
      </c>
      <c r="V1169" s="4" t="n">
        <v>511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172-7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32000</v>
      </c>
      <c r="H1170" s="4" t="n">
        <v>0</v>
      </c>
      <c r="I1170" s="4" t="n">
        <v>320</v>
      </c>
      <c r="J1170" s="4" t="n">
        <v>97</v>
      </c>
      <c r="K1170" s="5" t="n">
        <v>329.9</v>
      </c>
      <c r="L1170" s="4" t="n">
        <v>71</v>
      </c>
      <c r="M1170" s="4" t="n">
        <v>21</v>
      </c>
      <c r="N1170" s="5" t="n">
        <v>1523.8</v>
      </c>
      <c r="O1170" s="3" t="inlineStr">
        <is>
          <t>10월말 입주가능 마당있는, 행복도시  생활권, 도배 및 청소예정</t>
        </is>
      </c>
      <c r="P1170" s="6">
        <f>HYPERLINK("https://fin.land.naver.com/articles/2656020807", "매물Link")</f>
        <v/>
      </c>
      <c r="Q1170" s="6">
        <f>HYPERLINK("https://map.naver.com/p/search/장군면 대교리 172-7", "지도Link")</f>
        <v/>
      </c>
      <c r="R1170" s="6">
        <f>HYPERLINK("http://www.eum.go.kr/web/ar/lu/luLandDet.jsp?pnu=3611035023101720007&amp;isNoScr=script&amp;mode=search", "토지이음")</f>
        <v/>
      </c>
      <c r="S1170" s="3" t="inlineStr">
        <is>
          <t>한방</t>
        </is>
      </c>
      <c r="T1170" s="4" t="n">
        <v>2</v>
      </c>
      <c r="U1170" s="5" t="n">
        <v>252.6</v>
      </c>
      <c r="V1170" s="4" t="n">
        <v>300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가로장방</t>
        </is>
      </c>
      <c r="AA1170" s="3" t="inlineStr">
        <is>
          <t>세로한면(가)</t>
        </is>
      </c>
    </row>
    <row r="1171">
      <c r="A1171" s="3" t="inlineStr">
        <is>
          <t>장군면 대교리 176-1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4</t>
        </is>
      </c>
      <c r="E1171" s="3" t="inlineStr">
        <is>
          <t>일반원룸</t>
        </is>
      </c>
      <c r="F1171" s="3" t="inlineStr">
        <is>
          <t>월세</t>
        </is>
      </c>
      <c r="G1171" s="4" t="n">
        <v>100</v>
      </c>
      <c r="H1171" s="4" t="n">
        <v>30</v>
      </c>
      <c r="I1171" s="4" t="n">
        <v>24</v>
      </c>
      <c r="J1171" s="4" t="n">
        <v>7</v>
      </c>
      <c r="K1171" s="5" t="n">
        <v>4.3</v>
      </c>
      <c r="L1171" s="4" t="n">
        <v>22</v>
      </c>
      <c r="M1171" s="4" t="n">
        <v>7</v>
      </c>
      <c r="N1171" s="5" t="n">
        <v>4.3</v>
      </c>
      <c r="O1171" s="3" t="inlineStr">
        <is>
          <t>내국인 전용, 주차좋고 조용하고 깨끗한 분리형 저렴한 원룸</t>
        </is>
      </c>
      <c r="P1171" s="6">
        <f>HYPERLINK("https://fin.land.naver.com/articles/2653877350", "매물Link")</f>
        <v/>
      </c>
      <c r="Q1171" s="6">
        <f>HYPERLINK("https://map.naver.com/p/search/장군면 대교리 176-1", "지도Link")</f>
        <v/>
      </c>
      <c r="R1171" s="6">
        <f>HYPERLINK("http://www.eum.go.kr/web/ar/lu/luLandDet.jsp?pnu=3611035023101760001&amp;isNoScr=script&amp;mode=search", "토지이음")</f>
        <v/>
      </c>
      <c r="S1171" s="3" t="inlineStr">
        <is>
          <t>황제</t>
        </is>
      </c>
      <c r="T1171" s="4" t="n">
        <v>1</v>
      </c>
      <c r="U1171" s="5" t="n">
        <v>269.1</v>
      </c>
      <c r="V1171" s="4" t="n">
        <v>585</v>
      </c>
      <c r="W1171" s="3" t="inlineStr">
        <is>
          <t>지정되지않음</t>
        </is>
      </c>
      <c r="X1171" s="3" t="inlineStr">
        <is>
          <t>주거기타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소로한면</t>
        </is>
      </c>
    </row>
    <row r="1172">
      <c r="A1172" s="3" t="inlineStr">
        <is>
          <t>장군면 대교리 228-78</t>
        </is>
      </c>
      <c r="B1172" s="3" t="inlineStr">
        <is>
          <t>보전관리지역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110000</v>
      </c>
      <c r="H1172" s="4" t="n">
        <v>0</v>
      </c>
      <c r="I1172" s="4" t="n">
        <v>746</v>
      </c>
      <c r="J1172" s="4" t="n">
        <v>226</v>
      </c>
      <c r="K1172" s="5" t="n">
        <v>486.7</v>
      </c>
      <c r="L1172" s="4" t="n">
        <v>192</v>
      </c>
      <c r="M1172" s="4" t="n">
        <v>58</v>
      </c>
      <c r="N1172" s="5" t="n">
        <v>1896.6</v>
      </c>
      <c r="O1172" s="3" t="inlineStr">
        <is>
          <t>추천매물세종시 장군면  전원생활과 도시 접근성을 동시에 잡은 주택</t>
        </is>
      </c>
      <c r="P1172" s="6">
        <f>HYPERLINK("https://fin.land.naver.com/articles/2652544883", "매물Link")</f>
        <v/>
      </c>
      <c r="Q1172" s="6">
        <f>HYPERLINK("https://map.naver.com/p/search/장군면 대교리 228-78", "지도Link")</f>
        <v/>
      </c>
      <c r="R1172" s="6">
        <f>HYPERLINK("http://www.eum.go.kr/web/ar/lu/luLandDet.jsp?pnu=3611035023102280078&amp;isNoScr=script&amp;mode=search", "토지이음")</f>
        <v/>
      </c>
      <c r="S1172" s="3" t="inlineStr">
        <is>
          <t>고운하임</t>
        </is>
      </c>
      <c r="T1172" s="4" t="n">
        <v>2</v>
      </c>
      <c r="U1172" s="5" t="n">
        <v>151.2</v>
      </c>
      <c r="V1172" s="4" t="n">
        <v>746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243</t>
        </is>
      </c>
      <c r="B1173" s="3" t="inlineStr">
        <is>
          <t>생산관리지역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전원주택</t>
        </is>
      </c>
      <c r="F1173" s="3" t="inlineStr">
        <is>
          <t>매매</t>
        </is>
      </c>
      <c r="G1173" s="4" t="n">
        <v>54800</v>
      </c>
      <c r="H1173" s="4" t="n">
        <v>0</v>
      </c>
      <c r="I1173" s="4" t="n">
        <v>907</v>
      </c>
      <c r="J1173" s="4" t="n">
        <v>274</v>
      </c>
      <c r="K1173" s="5" t="n">
        <v>200</v>
      </c>
      <c r="L1173" s="4" t="n">
        <v>85</v>
      </c>
      <c r="M1173" s="4" t="n">
        <v>26</v>
      </c>
      <c r="N1173" s="5" t="n">
        <v>2107.7</v>
      </c>
      <c r="O1173" s="3" t="inlineStr">
        <is>
          <t>뷰 좋고 공기좋은 위치의 전원주택 매매</t>
        </is>
      </c>
      <c r="P1173" s="6">
        <f>HYPERLINK("https://fin.land.naver.com/articles/2655169384", "매물Link")</f>
        <v/>
      </c>
      <c r="Q1173" s="6">
        <f>HYPERLINK("https://map.naver.com/p/search/장군면 대교리 243", "지도Link")</f>
        <v/>
      </c>
      <c r="R1173" s="6">
        <f>HYPERLINK("http://www.eum.go.kr/web/ar/lu/luLandDet.jsp?pnu=3611035023102430000&amp;isNoScr=script&amp;mode=search", "토지이음")</f>
        <v/>
      </c>
      <c r="S1173" s="3" t="inlineStr">
        <is>
          <t>세종대박</t>
        </is>
      </c>
      <c r="T1173" s="4" t="n">
        <v>1</v>
      </c>
      <c r="U1173" s="5" t="n">
        <v>99.2</v>
      </c>
      <c r="V1173" s="4" t="n">
        <v>907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가로장방</t>
        </is>
      </c>
      <c r="AA1173" s="3" t="inlineStr">
        <is>
          <t>세로한면(불)</t>
        </is>
      </c>
    </row>
    <row r="1174">
      <c r="A1174" s="3" t="inlineStr">
        <is>
          <t>장군면 대교리 326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전세</t>
        </is>
      </c>
      <c r="G1174" s="4" t="n">
        <v>35000</v>
      </c>
      <c r="H1174" s="4" t="n">
        <v>0</v>
      </c>
      <c r="I1174" s="4" t="n">
        <v>495</v>
      </c>
      <c r="J1174" s="4" t="n">
        <v>150</v>
      </c>
      <c r="K1174" s="5" t="n">
        <v>233.3</v>
      </c>
      <c r="L1174" s="4" t="n">
        <v>495</v>
      </c>
      <c r="M1174" s="4" t="n">
        <v>150</v>
      </c>
      <c r="N1174" s="5" t="n">
        <v>233.3</v>
      </c>
      <c r="O1174" s="3" t="inlineStr">
        <is>
          <t>대교리 타운하우스 2층 단독주택, 넓은 마당.정원.텃밭</t>
        </is>
      </c>
      <c r="P1174" s="6">
        <f>HYPERLINK("https://fin.land.naver.com/articles/2653434012", "매물Link")</f>
        <v/>
      </c>
      <c r="Q1174" s="6">
        <f>HYPERLINK("https://map.naver.com/p/search/장군면 대교리 326", "지도Link")</f>
        <v/>
      </c>
      <c r="R1174" s="6">
        <f>HYPERLINK("http://www.eum.go.kr/web/ar/lu/luLandDet.jsp?pnu=3611035023103260000&amp;isNoScr=script&amp;mode=search", "토지이음")</f>
        <v/>
      </c>
      <c r="S1174" s="3" t="inlineStr">
        <is>
          <t>고운맘</t>
        </is>
      </c>
      <c r="T1174" s="4" t="n">
        <v>1</v>
      </c>
      <c r="U1174" s="5" t="n">
        <v>155</v>
      </c>
      <c r="V1174" s="4" t="n">
        <v>184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장군면 대교리 전원주택 매매</t>
        </is>
      </c>
      <c r="P1175" s="6">
        <f>HYPERLINK("https://fin.land.naver.com/articles/2654997402",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다모아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25000</v>
      </c>
      <c r="H1176" s="4" t="n">
        <v>0</v>
      </c>
      <c r="I1176" s="4" t="n">
        <v>177</v>
      </c>
      <c r="J1176" s="4" t="n">
        <v>54</v>
      </c>
      <c r="K1176" s="5" t="n">
        <v>463</v>
      </c>
      <c r="L1176" s="4" t="n">
        <v>102</v>
      </c>
      <c r="M1176" s="4" t="n">
        <v>31</v>
      </c>
      <c r="N1176" s="5" t="n">
        <v>806.5</v>
      </c>
      <c r="O1176" s="3" t="inlineStr">
        <is>
          <t>대교리 타운하우스 2층 테라스, 태양열 주택, 저렴한 급매물,가격조정가능</t>
        </is>
      </c>
      <c r="P1176" s="6">
        <f>HYPERLINK("https://fin.land.naver.com/articles/2651742058",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고운맘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326-14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27000</v>
      </c>
      <c r="H1177" s="4" t="n">
        <v>0</v>
      </c>
      <c r="I1177" s="4" t="n">
        <v>177</v>
      </c>
      <c r="J1177" s="4" t="n">
        <v>54</v>
      </c>
      <c r="K1177" s="5" t="n">
        <v>500</v>
      </c>
      <c r="L1177" s="4" t="n">
        <v>102</v>
      </c>
      <c r="M1177" s="4" t="n">
        <v>31</v>
      </c>
      <c r="N1177" s="5" t="n">
        <v>871</v>
      </c>
      <c r="O1177" s="3" t="inlineStr">
        <is>
          <t>텃밭있는 타운하우스, 태양광설치로  전기세절약,  상수도설치함.</t>
        </is>
      </c>
      <c r="P1177" s="6">
        <f>HYPERLINK("https://fin.land.naver.com/articles/2651514533", "매물Link")</f>
        <v/>
      </c>
      <c r="Q1177" s="6">
        <f>HYPERLINK("https://map.naver.com/p/search/장군면 대교리 326-14", "지도Link")</f>
        <v/>
      </c>
      <c r="R1177" s="6">
        <f>HYPERLINK("http://www.eum.go.kr/web/ar/lu/luLandDet.jsp?pnu=3611035023103260014&amp;isNoScr=script&amp;mode=search",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144.1</v>
      </c>
      <c r="V1177" s="4" t="n">
        <v>177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326-4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188</v>
      </c>
      <c r="J1178" s="4" t="n">
        <v>57</v>
      </c>
      <c r="K1178" s="5" t="n">
        <v>596.5</v>
      </c>
      <c r="L1178" s="4" t="n">
        <v>107</v>
      </c>
      <c r="M1178" s="4" t="n">
        <v>32</v>
      </c>
      <c r="N1178" s="5" t="n">
        <v>1062.5</v>
      </c>
      <c r="O1178" s="3" t="inlineStr">
        <is>
          <t>전원주택, 추천매매</t>
        </is>
      </c>
      <c r="P1178" s="6">
        <f>HYPERLINK("https://fin.land.naver.com/articles/2653740072", "매물Link")</f>
        <v/>
      </c>
      <c r="Q1178" s="6">
        <f>HYPERLINK("https://map.naver.com/p/search/장군면 대교리 326-4", "지도Link")</f>
        <v/>
      </c>
      <c r="R1178" s="6">
        <f>HYPERLINK("http://www.eum.go.kr/web/ar/lu/luLandDet.jsp?pnu=3611035023103260004&amp;isNoScr=script&amp;mode=search", "토지이음")</f>
        <v/>
      </c>
      <c r="S1178" s="3" t="inlineStr">
        <is>
          <t>Home</t>
        </is>
      </c>
      <c r="T1178" s="4" t="n">
        <v>1</v>
      </c>
      <c r="U1178" s="5" t="n">
        <v>155</v>
      </c>
      <c r="V1178" s="4" t="n">
        <v>188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326-6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24500</v>
      </c>
      <c r="H1179" s="4" t="n">
        <v>0</v>
      </c>
      <c r="I1179" s="4" t="n">
        <v>179</v>
      </c>
      <c r="J1179" s="4" t="n">
        <v>54</v>
      </c>
      <c r="K1179" s="5" t="n">
        <v>453.7</v>
      </c>
      <c r="L1179" s="4" t="n">
        <v>111</v>
      </c>
      <c r="M1179" s="4" t="n">
        <v>34</v>
      </c>
      <c r="N1179" s="5" t="n">
        <v>720.6</v>
      </c>
      <c r="O1179" s="3" t="inlineStr">
        <is>
          <t>방3개, 화장실2개, 장군면타운하우스</t>
        </is>
      </c>
      <c r="P1179" s="6">
        <f>HYPERLINK("https://fin.land.naver.com/articles/2654723878", "매물Link")</f>
        <v/>
      </c>
      <c r="Q1179" s="6">
        <f>HYPERLINK("https://map.naver.com/p/search/장군면 대교리 326-6", "지도Link")</f>
        <v/>
      </c>
      <c r="R1179" s="6">
        <f>HYPERLINK("http://www.eum.go.kr/web/ar/lu/luLandDet.jsp?pnu=3611035023103260006&amp;isNoScr=script&amp;mode=search", "토지이음")</f>
        <v/>
      </c>
      <c r="S1179" s="3" t="inlineStr">
        <is>
          <t>세종무지개</t>
        </is>
      </c>
      <c r="T1179" s="4" t="n">
        <v>2</v>
      </c>
      <c r="U1179" s="5" t="n">
        <v>155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대교리 326-7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단독</t>
        </is>
      </c>
      <c r="F1180" s="3" t="inlineStr">
        <is>
          <t>매매</t>
        </is>
      </c>
      <c r="G1180" s="4" t="n">
        <v>25000</v>
      </c>
      <c r="H1180" s="4" t="n">
        <v>0</v>
      </c>
      <c r="I1180" s="4" t="n">
        <v>179</v>
      </c>
      <c r="J1180" s="4" t="n">
        <v>54</v>
      </c>
      <c r="K1180" s="5" t="n">
        <v>463</v>
      </c>
      <c r="L1180" s="4" t="n">
        <v>111</v>
      </c>
      <c r="M1180" s="4" t="n">
        <v>34</v>
      </c>
      <c r="N1180" s="5" t="n">
        <v>735.3</v>
      </c>
      <c r="O1180" s="3" t="inlineStr">
        <is>
          <t>세종시 근접 단독 복층 주택,여유로운 전원생활을 누려보세요</t>
        </is>
      </c>
      <c r="P1180" s="6">
        <f>HYPERLINK("https://fin.land.naver.com/articles/2654779985", "매물Link")</f>
        <v/>
      </c>
      <c r="Q1180" s="6">
        <f>HYPERLINK("https://map.naver.com/p/search/장군면 대교리 326-7", "지도Link")</f>
        <v/>
      </c>
      <c r="R1180" s="6">
        <f>HYPERLINK("http://www.eum.go.kr/web/ar/lu/luLandDet.jsp?pnu=3611035023103260007&amp;isNoScr=script&amp;mode=search", "토지이음")</f>
        <v/>
      </c>
      <c r="S1180" s="3" t="inlineStr">
        <is>
          <t>가치잇는</t>
        </is>
      </c>
      <c r="T1180" s="4" t="n">
        <v>2</v>
      </c>
      <c r="U1180" s="5" t="n">
        <v>130.2</v>
      </c>
      <c r="V1180" s="4" t="n">
        <v>179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장군면 대교리 조용한 전원주택</t>
        </is>
      </c>
      <c r="P1181" s="6">
        <f>HYPERLINK("https://fin.land.naver.com/articles/2655038534",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세종천지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335-26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58000</v>
      </c>
      <c r="H1182" s="4" t="n">
        <v>0</v>
      </c>
      <c r="I1182" s="4" t="n">
        <v>670</v>
      </c>
      <c r="J1182" s="4" t="n">
        <v>203</v>
      </c>
      <c r="K1182" s="5" t="n">
        <v>285.7</v>
      </c>
      <c r="L1182" s="4" t="n">
        <v>80</v>
      </c>
      <c r="M1182" s="4" t="n">
        <v>24</v>
      </c>
      <c r="N1182" s="5" t="n">
        <v>2416.7</v>
      </c>
      <c r="O1182" s="3" t="inlineStr">
        <is>
          <t>멋진 데크있는 단독주택</t>
        </is>
      </c>
      <c r="P1182" s="6">
        <f>HYPERLINK("https://fin.land.naver.com/articles/2654910916", "매물Link")</f>
        <v/>
      </c>
      <c r="Q1182" s="6">
        <f>HYPERLINK("https://map.naver.com/p/search/장군면 대교리 335-26", "지도Link")</f>
        <v/>
      </c>
      <c r="R1182" s="6">
        <f>HYPERLINK("http://www.eum.go.kr/web/ar/lu/luLandDet.jsp?pnu=3611035023103350026&amp;isNoScr=script&amp;mode=search", "토지이음")</f>
        <v/>
      </c>
      <c r="S1182" s="3" t="inlineStr">
        <is>
          <t>THE행복</t>
        </is>
      </c>
      <c r="T1182" s="4" t="n">
        <v>1</v>
      </c>
      <c r="U1182" s="5" t="n">
        <v>117.7</v>
      </c>
      <c r="V1182" s="4" t="n">
        <v>398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335-27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매매</t>
        </is>
      </c>
      <c r="G1183" s="4" t="n">
        <v>63000</v>
      </c>
      <c r="H1183" s="4" t="n">
        <v>0</v>
      </c>
      <c r="I1183" s="4" t="n">
        <v>623</v>
      </c>
      <c r="J1183" s="4" t="n">
        <v>188</v>
      </c>
      <c r="K1183" s="5" t="n">
        <v>335.1</v>
      </c>
      <c r="L1183" s="4" t="n">
        <v>82</v>
      </c>
      <c r="M1183" s="4" t="n">
        <v>25</v>
      </c>
      <c r="N1183" s="5" t="n">
        <v>2520</v>
      </c>
      <c r="O1183" s="3" t="inlineStr">
        <is>
          <t>행복도시 10분이내 거리의 예쁜 전원주택지입니다</t>
        </is>
      </c>
      <c r="P1183" s="6">
        <f>HYPERLINK("https://fin.land.naver.com/articles/2652122425", "매물Link")</f>
        <v/>
      </c>
      <c r="Q1183" s="6">
        <f>HYPERLINK("https://map.naver.com/p/search/장군면 대교리 335-27", "지도Link")</f>
        <v/>
      </c>
      <c r="R1183" s="6">
        <f>HYPERLINK("http://www.eum.go.kr/web/ar/lu/luLandDet.jsp?pnu=3611035023103350027&amp;isNoScr=script&amp;mode=search", "토지이음")</f>
        <v/>
      </c>
      <c r="S1183" s="3" t="inlineStr">
        <is>
          <t>미스터홈즈강남지사</t>
        </is>
      </c>
      <c r="T1183" s="4" t="n">
        <v>1</v>
      </c>
      <c r="U1183" s="5" t="n">
        <v>117.7</v>
      </c>
      <c r="V1183" s="4" t="n">
        <v>623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413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전원주택</t>
        </is>
      </c>
      <c r="F1184" s="3" t="inlineStr">
        <is>
          <t>매매</t>
        </is>
      </c>
      <c r="G1184" s="4" t="n">
        <v>32000</v>
      </c>
      <c r="H1184" s="4" t="n">
        <v>0</v>
      </c>
      <c r="I1184" s="4" t="n">
        <v>329</v>
      </c>
      <c r="J1184" s="4" t="n">
        <v>100</v>
      </c>
      <c r="K1184" s="5" t="n">
        <v>320</v>
      </c>
      <c r="L1184" s="4" t="n">
        <v>48</v>
      </c>
      <c r="M1184" s="4" t="n">
        <v>15</v>
      </c>
      <c r="N1184" s="5" t="n">
        <v>2133.3</v>
      </c>
      <c r="O1184" s="3" t="inlineStr">
        <is>
          <t>대교리 농가주택 매매</t>
        </is>
      </c>
      <c r="P1184" s="6">
        <f>HYPERLINK("https://fin.land.naver.com/articles/2653538275", "매물Link")</f>
        <v/>
      </c>
      <c r="Q1184" s="6">
        <f>HYPERLINK("https://map.naver.com/p/search/장군면 대교리 413", "지도Link")</f>
        <v/>
      </c>
      <c r="R1184" s="6">
        <f>HYPERLINK("http://www.eum.go.kr/web/ar/lu/luLandDet.jsp?pnu=3611035023104130000&amp;isNoScr=script&amp;mode=search", "토지이음")</f>
        <v/>
      </c>
      <c r="S1184" s="3" t="inlineStr">
        <is>
          <t>세종천지</t>
        </is>
      </c>
      <c r="T1184" s="4" t="n">
        <v>1</v>
      </c>
      <c r="U1184" s="5" t="n">
        <v>141.6</v>
      </c>
      <c r="V1184" s="4" t="n">
        <v>329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516-5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31000</v>
      </c>
      <c r="H1185" s="4" t="n">
        <v>0</v>
      </c>
      <c r="I1185" s="4" t="n">
        <v>281</v>
      </c>
      <c r="J1185" s="4" t="n">
        <v>85</v>
      </c>
      <c r="K1185" s="5" t="n">
        <v>364.7</v>
      </c>
      <c r="L1185" s="4" t="n">
        <v>78</v>
      </c>
      <c r="M1185" s="4" t="n">
        <v>24</v>
      </c>
      <c r="N1185" s="5" t="n">
        <v>1291.7</v>
      </c>
      <c r="O1185" s="3" t="inlineStr">
        <is>
          <t>장군면 단독주택 매매</t>
        </is>
      </c>
      <c r="P1185" s="6">
        <f>HYPERLINK("https://fin.land.naver.com/articles/2653435455", "매물Link")</f>
        <v/>
      </c>
      <c r="Q1185" s="6">
        <f>HYPERLINK("https://map.naver.com/p/search/장군면 대교리 516-5", "지도Link")</f>
        <v/>
      </c>
      <c r="R1185" s="6">
        <f>HYPERLINK("http://www.eum.go.kr/web/ar/lu/luLandDet.jsp?pnu=3611035023105160005&amp;isNoScr=script&amp;mode=search", "토지이음")</f>
        <v/>
      </c>
      <c r="S1185" s="3" t="inlineStr">
        <is>
          <t>대박</t>
        </is>
      </c>
      <c r="T1185" s="4" t="n">
        <v>1</v>
      </c>
      <c r="U1185" s="5" t="n">
        <v>232.6</v>
      </c>
      <c r="V1185" s="4" t="n">
        <v>281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596-3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24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000 착한임대료 조용한 원룸 수납최고 000</t>
        </is>
      </c>
      <c r="P1186" s="6">
        <f>HYPERLINK("https://fin.land.naver.com/articles/2654364978", "매물Link")</f>
        <v/>
      </c>
      <c r="Q1186" s="6">
        <f>HYPERLINK("https://map.naver.com/p/search/장군면 대교리 596-3", "지도Link")</f>
        <v/>
      </c>
      <c r="R1186" s="6">
        <f>HYPERLINK("http://www.eum.go.kr/web/ar/lu/luLandDet.jsp?pnu=3611035023105960003&amp;isNoScr=script&amp;mode=search", "토지이음")</f>
        <v/>
      </c>
      <c r="S1186" s="3" t="inlineStr">
        <is>
          <t>신황제</t>
        </is>
      </c>
      <c r="T1186" s="4" t="n">
        <v>1</v>
      </c>
      <c r="U1186" s="5" t="n">
        <v>252.6</v>
      </c>
      <c r="V1186" s="4" t="n">
        <v>296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100</v>
      </c>
      <c r="H1187" s="4" t="n">
        <v>27</v>
      </c>
      <c r="I1187" s="4" t="n">
        <v>20</v>
      </c>
      <c r="J1187" s="4" t="n">
        <v>6</v>
      </c>
      <c r="K1187" s="5" t="n">
        <v>4.5</v>
      </c>
      <c r="L1187" s="4" t="n">
        <v>19</v>
      </c>
      <c r="M1187" s="4" t="n">
        <v>6</v>
      </c>
      <c r="N1187" s="5" t="n">
        <v>4.5</v>
      </c>
      <c r="O1187" s="3" t="inlineStr">
        <is>
          <t>세종 최저 저렴이 원룸 빌트인장 수납공간많고 싸게 딱 좋아</t>
        </is>
      </c>
      <c r="P1187" s="6">
        <f>HYPERLINK("https://fin.land.naver.com/articles/2654408385", "매물Link")</f>
        <v/>
      </c>
      <c r="Q1187" s="6">
        <f>HYPERLINK("https://map.naver.com/p/search/장군면 대교리 596-3", "지도Link")</f>
        <v/>
      </c>
      <c r="R1187" s="6">
        <f>HYPERLINK("http://www.eum.go.kr/web/ar/lu/luLandDet.jsp?pnu=3611035023105960003&amp;isNoScr=script&amp;mode=search", "토지이음")</f>
        <v/>
      </c>
      <c r="S1187" s="3" t="inlineStr">
        <is>
          <t>황제</t>
        </is>
      </c>
      <c r="T1187" s="4" t="n">
        <v>1</v>
      </c>
      <c r="U1187" s="5" t="n">
        <v>252.6</v>
      </c>
      <c r="V1187" s="4" t="n">
        <v>296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추천추천 저렴  수납좋은 원룸 000</t>
        </is>
      </c>
      <c r="P1188" s="6">
        <f>HYPERLINK("https://fin.land.naver.com/articles/2655615423",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596-7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27</v>
      </c>
      <c r="I1189" s="4" t="n">
        <v>22</v>
      </c>
      <c r="J1189" s="4" t="n">
        <v>7</v>
      </c>
      <c r="K1189" s="5" t="n">
        <v>3.9</v>
      </c>
      <c r="L1189" s="4" t="n">
        <v>20</v>
      </c>
      <c r="M1189" s="4" t="n">
        <v>6</v>
      </c>
      <c r="N1189" s="5" t="n">
        <v>4.5</v>
      </c>
      <c r="O1189" s="3" t="inlineStr">
        <is>
          <t>세종 최저 저렴이 원룸 빌트인장 수납공간 싸게 딱 좋아</t>
        </is>
      </c>
      <c r="P1189" s="6">
        <f>HYPERLINK("https://fin.land.naver.com/articles/2655244712", "매물Link")</f>
        <v/>
      </c>
      <c r="Q1189" s="6">
        <f>HYPERLINK("https://map.naver.com/p/search/장군면 대교리 596-7", "지도Link")</f>
        <v/>
      </c>
      <c r="R1189" s="6">
        <f>HYPERLINK("http://www.eum.go.kr/web/ar/lu/luLandDet.jsp?pnu=3611035023105960007&amp;isNoScr=script&amp;mode=search",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252.6</v>
      </c>
      <c r="V1189" s="4" t="n">
        <v>295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대교리 596-7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3</t>
        </is>
      </c>
      <c r="E1190" s="3" t="inlineStr">
        <is>
          <t>일반원룸</t>
        </is>
      </c>
      <c r="F1190" s="3" t="inlineStr">
        <is>
          <t>단기임대</t>
        </is>
      </c>
      <c r="G1190" s="4" t="n">
        <v>100</v>
      </c>
      <c r="H1190" s="4" t="n">
        <v>27</v>
      </c>
      <c r="I1190" s="4" t="n">
        <v>24</v>
      </c>
      <c r="J1190" s="4" t="n">
        <v>7</v>
      </c>
      <c r="K1190" s="5" t="n">
        <v>14.3</v>
      </c>
      <c r="L1190" s="4" t="n">
        <v>20</v>
      </c>
      <c r="M1190" s="4" t="n">
        <v>6</v>
      </c>
      <c r="N1190" s="5" t="n">
        <v>16.7</v>
      </c>
      <c r="O1190" s="3" t="inlineStr">
        <is>
          <t>000 저렴  수납좋은 원룸 000</t>
        </is>
      </c>
      <c r="P1190" s="6">
        <f>HYPERLINK("https://fin.land.naver.com/articles/2655235328", "매물Link")</f>
        <v/>
      </c>
      <c r="Q1190" s="6">
        <f>HYPERLINK("https://map.naver.com/p/search/장군면 대교리 596-7", "지도Link")</f>
        <v/>
      </c>
      <c r="R1190" s="6">
        <f>HYPERLINK("http://www.eum.go.kr/web/ar/lu/luLandDet.jsp?pnu=3611035023105960007&amp;isNoScr=script&amp;mode=search",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252.6</v>
      </c>
      <c r="V1190" s="4" t="n">
        <v>295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74-27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단독</t>
        </is>
      </c>
      <c r="F1192" s="3" t="inlineStr">
        <is>
          <t>매매</t>
        </is>
      </c>
      <c r="G1192" s="4" t="n">
        <v>40000</v>
      </c>
      <c r="H1192" s="4" t="n">
        <v>0</v>
      </c>
      <c r="I1192" s="4" t="n">
        <v>430</v>
      </c>
      <c r="J1192" s="4" t="n">
        <v>130</v>
      </c>
      <c r="K1192" s="5" t="n">
        <v>307.7</v>
      </c>
      <c r="L1192" s="4" t="n">
        <v>83</v>
      </c>
      <c r="M1192" s="4" t="n">
        <v>25</v>
      </c>
      <c r="N1192" s="5" t="n">
        <v>1600</v>
      </c>
      <c r="O1192" s="3" t="inlineStr">
        <is>
          <t>세종시내 5분 거리 국사봉마을 전원주택,세컨하우스,토지 투자 적극 추천</t>
        </is>
      </c>
      <c r="P1192" s="6">
        <f>HYPERLINK("https://fin.land.naver.com/articles/2655996929", "매물Link")</f>
        <v/>
      </c>
      <c r="Q1192" s="6">
        <f>HYPERLINK("https://map.naver.com/p/search/장군면 대교리 74-27", "지도Link")</f>
        <v/>
      </c>
      <c r="R1192" s="6">
        <f>HYPERLINK("http://www.eum.go.kr/web/ar/lu/luLandDet.jsp?pnu=3611035023100740027&amp;isNoScr=script&amp;mode=search", "토지이음")</f>
        <v/>
      </c>
      <c r="S1192" s="3" t="inlineStr">
        <is>
          <t>세종신한</t>
        </is>
      </c>
      <c r="T1192" s="4" t="n">
        <v>1</v>
      </c>
      <c r="U1192" s="5" t="n">
        <v>107.7</v>
      </c>
      <c r="V1192" s="4" t="n">
        <v>430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매매</t>
        </is>
      </c>
      <c r="G1193" s="4" t="n">
        <v>62000</v>
      </c>
      <c r="H1193" s="4" t="n">
        <v>0</v>
      </c>
      <c r="I1193" s="4" t="n">
        <v>680</v>
      </c>
      <c r="J1193" s="4" t="n">
        <v>206</v>
      </c>
      <c r="K1193" s="5" t="n">
        <v>301</v>
      </c>
      <c r="L1193" s="4" t="n">
        <v>98</v>
      </c>
      <c r="M1193" s="4" t="n">
        <v>30</v>
      </c>
      <c r="N1193" s="5" t="n">
        <v>2066.7</v>
      </c>
      <c r="O1193" s="3" t="inlineStr">
        <is>
          <t>환상적인 산뷰,복층,고운동 차량5분거리,월세안고 매매 또는 입주협의가능</t>
        </is>
      </c>
      <c r="P1193" s="6">
        <f>HYPERLINK("https://fin.land.naver.com/articles/2651993245", "매물Link")</f>
        <v/>
      </c>
      <c r="Q1193" s="6">
        <f>HYPERLINK("https://map.naver.com/p/search/장군면 대교리 74-32", "지도Link")</f>
        <v/>
      </c>
      <c r="R1193" s="6">
        <f>HYPERLINK("http://www.eum.go.kr/web/ar/lu/luLandDet.jsp?pnu=3611035023100740032&amp;isNoScr=script&amp;mode=search",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104.8</v>
      </c>
      <c r="V1193" s="4" t="n">
        <v>680</v>
      </c>
      <c r="W1193" s="3" t="inlineStr">
        <is>
          <t>농림지역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74-35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45000</v>
      </c>
      <c r="H1194" s="4" t="n">
        <v>0</v>
      </c>
      <c r="I1194" s="4" t="n">
        <v>98</v>
      </c>
      <c r="J1194" s="4" t="n">
        <v>30</v>
      </c>
      <c r="K1194" s="5" t="n">
        <v>1500</v>
      </c>
      <c r="L1194" s="4" t="n">
        <v>631</v>
      </c>
      <c r="M1194" s="4" t="n">
        <v>191</v>
      </c>
      <c r="N1194" s="5" t="n">
        <v>235.6</v>
      </c>
      <c r="O1194" s="3" t="inlineStr">
        <is>
          <t>산뷰로 전망좋으며 일조량 좋음,집상태 깨끗함,폴리싱타일거실바닥,붙박이장,</t>
        </is>
      </c>
      <c r="P1194" s="6">
        <f>HYPERLINK("https://fin.land.naver.com/articles/2653062650", "매물Link")</f>
        <v/>
      </c>
      <c r="Q1194" s="6">
        <f>HYPERLINK("https://map.naver.com/p/search/장군면 대교리 74-35", "지도Link")</f>
        <v/>
      </c>
      <c r="R1194" s="6">
        <f>HYPERLINK("http://www.eum.go.kr/web/ar/lu/luLandDet.jsp?pnu=3611035023100740035&amp;isNoScr=script&amp;mode=search", "토지이음")</f>
        <v/>
      </c>
      <c r="S1194" s="3" t="inlineStr">
        <is>
          <t>담뜰</t>
        </is>
      </c>
      <c r="T1194" s="4" t="n">
        <v>1</v>
      </c>
      <c r="U1194" s="5" t="n">
        <v>107.7</v>
      </c>
      <c r="V1194" s="4" t="n">
        <v>589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대교리 79-100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52000</v>
      </c>
      <c r="H1195" s="4" t="n">
        <v>0</v>
      </c>
      <c r="I1195" s="4" t="n">
        <v>290</v>
      </c>
      <c r="J1195" s="4" t="n">
        <v>88</v>
      </c>
      <c r="K1195" s="5" t="n">
        <v>590.9</v>
      </c>
      <c r="L1195" s="4" t="n">
        <v>136</v>
      </c>
      <c r="M1195" s="4" t="n">
        <v>41</v>
      </c>
      <c r="N1195" s="5" t="n">
        <v>1268.3</v>
      </c>
      <c r="O1195" s="3" t="inlineStr">
        <is>
          <t>nan</t>
        </is>
      </c>
      <c r="P1195" s="6">
        <f>HYPERLINK("https://fin.land.naver.com/articles/2655940033", "매물Link")</f>
        <v/>
      </c>
      <c r="Q1195" s="6">
        <f>HYPERLINK("https://map.naver.com/p/search/장군면 대교리 79-100", "지도Link")</f>
        <v/>
      </c>
      <c r="R1195" s="6">
        <f>HYPERLINK("http://www.eum.go.kr/web/ar/lu/luLandDet.jsp?pnu=3611035023100790100&amp;isNoScr=script&amp;mode=search", "토지이음")</f>
        <v/>
      </c>
      <c r="S1195" s="3" t="inlineStr">
        <is>
          <t>다정현대</t>
        </is>
      </c>
      <c r="T1195" s="4" t="n">
        <v>1</v>
      </c>
      <c r="U1195" s="5" t="n">
        <v>157.2</v>
      </c>
      <c r="V1195" s="4" t="n">
        <v>290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79-102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단독</t>
        </is>
      </c>
      <c r="F1196" s="3" t="inlineStr">
        <is>
          <t>매매</t>
        </is>
      </c>
      <c r="G1196" s="4" t="n">
        <v>150000</v>
      </c>
      <c r="H1196" s="4" t="n">
        <v>0</v>
      </c>
      <c r="I1196" s="4" t="n">
        <v>660</v>
      </c>
      <c r="J1196" s="4" t="n">
        <v>200</v>
      </c>
      <c r="K1196" s="5" t="n">
        <v>750</v>
      </c>
      <c r="L1196" s="4" t="n">
        <v>196</v>
      </c>
      <c r="M1196" s="4" t="n">
        <v>59</v>
      </c>
      <c r="N1196" s="5" t="n">
        <v>2542.4</v>
      </c>
      <c r="O1196" s="3" t="inlineStr">
        <is>
          <t>정성가득 이쁘게 지은 복이 넘치는 집.  2세대 거주 함께 가능.태양광</t>
        </is>
      </c>
      <c r="P1196" s="6">
        <f>HYPERLINK("https://fin.land.naver.com/articles/2655814285", "매물Link")</f>
        <v/>
      </c>
      <c r="Q1196" s="6">
        <f>HYPERLINK("https://map.naver.com/p/search/장군면 대교리 79-102", "지도Link")</f>
        <v/>
      </c>
      <c r="R1196" s="6">
        <f>HYPERLINK("http://www.eum.go.kr/web/ar/lu/luLandDet.jsp?pnu=3611035023100790102&amp;isNoScr=script&amp;mode=search", "토지이음")</f>
        <v/>
      </c>
      <c r="S1196" s="3" t="inlineStr">
        <is>
          <t>세종올리브</t>
        </is>
      </c>
      <c r="T1196" s="4" t="n">
        <v>1</v>
      </c>
      <c r="U1196" s="5" t="n">
        <v>157.2</v>
      </c>
      <c r="V1196" s="4" t="n">
        <v>660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대교리 79-140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780</v>
      </c>
      <c r="J1197" s="4" t="n">
        <v>236</v>
      </c>
      <c r="K1197" s="5" t="n">
        <v>211.9</v>
      </c>
      <c r="L1197" s="4" t="n">
        <v>77</v>
      </c>
      <c r="M1197" s="4" t="n">
        <v>23</v>
      </c>
      <c r="N1197" s="5" t="n">
        <v>2173.9</v>
      </c>
      <c r="O1197" s="3" t="inlineStr">
        <is>
          <t>경량철골구조, 소매점, 태양광설치, 대교리 저렴한 토지.주택</t>
        </is>
      </c>
      <c r="P1197" s="6">
        <f>HYPERLINK("https://fin.land.naver.com/articles/2652841688", "매물Link")</f>
        <v/>
      </c>
      <c r="Q1197" s="6">
        <f>HYPERLINK("https://map.naver.com/p/search/장군면 대교리 79-140", "지도Link")</f>
        <v/>
      </c>
      <c r="R1197" s="6">
        <f>HYPERLINK("http://www.eum.go.kr/web/ar/lu/luLandDet.jsp?pnu=3611035023100790140&amp;isNoScr=script&amp;mode=search", "토지이음")</f>
        <v/>
      </c>
      <c r="S1197" s="3" t="inlineStr">
        <is>
          <t>세종무지개</t>
        </is>
      </c>
      <c r="T1197" s="4" t="n">
        <v>1</v>
      </c>
      <c r="U1197" s="5" t="n">
        <v>157.2</v>
      </c>
      <c r="V1197" s="4" t="n">
        <v>390</v>
      </c>
      <c r="W1197" s="3" t="inlineStr">
        <is>
          <t>지정되지않음</t>
        </is>
      </c>
      <c r="X1197" s="3" t="inlineStr">
        <is>
          <t>주거기타</t>
        </is>
      </c>
      <c r="Y1197" s="3" t="inlineStr">
        <is>
          <t>완경사</t>
        </is>
      </c>
      <c r="Z1197" s="3" t="inlineStr">
        <is>
          <t>정방형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마당 및 지하주차장, 복층,방4, 실매물사진, 11월입주가능</t>
        </is>
      </c>
      <c r="P1198" s="6">
        <f>HYPERLINK("https://fin.land.naver.com/articles/2651508577",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한방</t>
        </is>
      </c>
      <c r="T1198" s="4" t="n">
        <v>1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대교리 79-64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50000</v>
      </c>
      <c r="H1199" s="4" t="n">
        <v>0</v>
      </c>
      <c r="I1199" s="4" t="n">
        <v>290</v>
      </c>
      <c r="J1199" s="4" t="n">
        <v>88</v>
      </c>
      <c r="K1199" s="5" t="n">
        <v>568.2</v>
      </c>
      <c r="L1199" s="4" t="n">
        <v>115</v>
      </c>
      <c r="M1199" s="4" t="n">
        <v>35</v>
      </c>
      <c r="N1199" s="5" t="n">
        <v>1428.6</v>
      </c>
      <c r="O1199" s="3" t="inlineStr">
        <is>
          <t>급매.많은 발전 호재 기대되는 대교리. 서세종IC 5분</t>
        </is>
      </c>
      <c r="P1199" s="6">
        <f>HYPERLINK("https://fin.land.naver.com/articles/2651959877", "매물Link")</f>
        <v/>
      </c>
      <c r="Q1199" s="6">
        <f>HYPERLINK("https://map.naver.com/p/search/장군면 대교리 79-64", "지도Link")</f>
        <v/>
      </c>
      <c r="R1199" s="6">
        <f>HYPERLINK("http://www.eum.go.kr/web/ar/lu/luLandDet.jsp?pnu=3611035023100790064&amp;isNoScr=script&amp;mode=search", "토지이음")</f>
        <v/>
      </c>
      <c r="S1199" s="3" t="inlineStr">
        <is>
          <t>세종올리브</t>
        </is>
      </c>
      <c r="T1199" s="4" t="n">
        <v>2</v>
      </c>
      <c r="U1199" s="5" t="n">
        <v>157.2</v>
      </c>
      <c r="V1199" s="4" t="n">
        <v>290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200</v>
      </c>
      <c r="H1201" s="4" t="n">
        <v>29</v>
      </c>
      <c r="I1201" s="4" t="n">
        <v>26</v>
      </c>
      <c r="J1201" s="4" t="n">
        <v>8</v>
      </c>
      <c r="K1201" s="5" t="n">
        <v>3.6</v>
      </c>
      <c r="L1201" s="4" t="n">
        <v>24</v>
      </c>
      <c r="M1201" s="4" t="n">
        <v>7</v>
      </c>
      <c r="N1201" s="5" t="n">
        <v>4.1</v>
      </c>
      <c r="O1201" s="3" t="inlineStr">
        <is>
          <t>nan</t>
        </is>
      </c>
      <c r="P1201" s="6">
        <f>HYPERLINK("https://fin.land.naver.com/articles/2655116319", "매물Link")</f>
        <v/>
      </c>
      <c r="Q1201" s="6">
        <f>HYPERLINK("https://map.naver.com/p/search/장군면 도계리 151-15", "지도Link")</f>
        <v/>
      </c>
      <c r="R1201" s="6">
        <f>HYPERLINK("http://www.eum.go.kr/web/ar/lu/luLandDet.jsp?pnu=3611035021101510015&amp;isNoScr=script&amp;mode=search", "토지이음")</f>
        <v/>
      </c>
      <c r="S1201" s="3" t="inlineStr">
        <is>
          <t>신황제</t>
        </is>
      </c>
      <c r="T1201" s="4" t="n">
        <v>1</v>
      </c>
      <c r="U1201" s="5" t="n">
        <v>241.4</v>
      </c>
      <c r="V1201" s="4" t="n">
        <v>348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정방형</t>
        </is>
      </c>
      <c r="AA1201" s="3" t="inlineStr">
        <is>
          <t>세로각지(가)</t>
        </is>
      </c>
    </row>
    <row r="1202">
      <c r="A1202" s="3" t="inlineStr">
        <is>
          <t>장군면 도계리 151-32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0</t>
        </is>
      </c>
      <c r="E1202" s="3" t="inlineStr">
        <is>
          <t>일반원룸</t>
        </is>
      </c>
      <c r="F1202" s="3" t="inlineStr">
        <is>
          <t>전세</t>
        </is>
      </c>
      <c r="G1202" s="4" t="n">
        <v>3800</v>
      </c>
      <c r="H1202" s="4" t="n">
        <v>0</v>
      </c>
      <c r="I1202" s="4" t="n">
        <v>22</v>
      </c>
      <c r="J1202" s="4" t="n">
        <v>7</v>
      </c>
      <c r="K1202" s="5" t="n">
        <v>542.9</v>
      </c>
      <c r="L1202" s="4" t="n">
        <v>22</v>
      </c>
      <c r="M1202" s="4" t="n">
        <v>7</v>
      </c>
      <c r="N1202" s="5" t="n">
        <v>542.9</v>
      </c>
      <c r="O1202" s="3" t="inlineStr">
        <is>
          <t>장군면소재지로 생활 편리</t>
        </is>
      </c>
      <c r="P1202" s="6">
        <f>HYPERLINK("https://fin.land.naver.com/articles/2652273822", "매물Link")</f>
        <v/>
      </c>
      <c r="Q1202" s="6">
        <f>HYPERLINK("https://map.naver.com/p/search/장군면 도계리 151-32", "지도Link")</f>
        <v/>
      </c>
      <c r="R1202" s="6">
        <f>HYPERLINK("http://www.eum.go.kr/web/ar/lu/luLandDet.jsp?pnu=3611035021101510032&amp;isNoScr=script&amp;mode=search", "토지이음")</f>
        <v/>
      </c>
      <c r="S1202" s="3" t="inlineStr">
        <is>
          <t>새땅</t>
        </is>
      </c>
      <c r="T1202" s="4" t="n">
        <v>1</v>
      </c>
      <c r="U1202" s="5" t="n">
        <v>220.1</v>
      </c>
      <c r="V1202" s="4" t="n">
        <v>329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자루형</t>
        </is>
      </c>
      <c r="AA1202" s="3" t="inlineStr">
        <is>
          <t>세로한면(가)</t>
        </is>
      </c>
    </row>
    <row r="1203">
      <c r="A1203" s="3" t="inlineStr">
        <is>
          <t>장군면 도계리 159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30</v>
      </c>
      <c r="I1203" s="4" t="n">
        <v>21</v>
      </c>
      <c r="J1203" s="4" t="n">
        <v>6</v>
      </c>
      <c r="K1203" s="5" t="n">
        <v>5</v>
      </c>
      <c r="L1203" s="4" t="n">
        <v>21</v>
      </c>
      <c r="M1203" s="4" t="n">
        <v>6</v>
      </c>
      <c r="N1203" s="5" t="n">
        <v>5</v>
      </c>
      <c r="O1203" s="3" t="inlineStr">
        <is>
          <t>장군면 소재지 최고 생활 편리한 위치</t>
        </is>
      </c>
      <c r="P1203" s="6">
        <f>HYPERLINK("https://fin.land.naver.com/articles/2652705054", "매물Link")</f>
        <v/>
      </c>
      <c r="Q1203" s="6">
        <f>HYPERLINK("https://map.naver.com/p/search/장군면 도계리 159", "지도Link")</f>
        <v/>
      </c>
      <c r="R1203" s="6">
        <f>HYPERLINK("http://www.eum.go.kr/web/ar/lu/luLandDet.jsp?pnu=3611035021101590000&amp;isNoScr=script&amp;mode=search",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236.8</v>
      </c>
      <c r="V1203" s="4" t="n">
        <v>508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159-1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24</v>
      </c>
      <c r="J1204" s="4" t="n">
        <v>7</v>
      </c>
      <c r="K1204" s="5" t="n">
        <v>4.3</v>
      </c>
      <c r="L1204" s="4" t="n">
        <v>23</v>
      </c>
      <c r="M1204" s="4" t="n">
        <v>7</v>
      </c>
      <c r="N1204" s="5" t="n">
        <v>4.3</v>
      </c>
      <c r="O1204" s="3" t="inlineStr">
        <is>
          <t>면소재지 인근 편의시설 많은 초대형 분리형 원룸 너무좋네요</t>
        </is>
      </c>
      <c r="P1204" s="6">
        <f>HYPERLINK("https://fin.land.naver.com/articles/2653112339", "매물Link")</f>
        <v/>
      </c>
      <c r="Q1204" s="6">
        <f>HYPERLINK("https://map.naver.com/p/search/장군면 도계리 159-1", "지도Link")</f>
        <v/>
      </c>
      <c r="R1204" s="6">
        <f>HYPERLINK("http://www.eum.go.kr/web/ar/lu/luLandDet.jsp?pnu=3611035021101590001&amp;isNoScr=script&amp;mode=search", "토지이음")</f>
        <v/>
      </c>
      <c r="S1204" s="3" t="inlineStr">
        <is>
          <t>황제</t>
        </is>
      </c>
      <c r="T1204" s="4" t="n">
        <v>1</v>
      </c>
      <c r="U1204" s="5" t="n">
        <v>236.8</v>
      </c>
      <c r="V1204" s="4" t="n">
        <v>507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도계리 159-2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200</v>
      </c>
      <c r="H1205" s="4" t="n">
        <v>60</v>
      </c>
      <c r="I1205" s="4" t="n">
        <v>49</v>
      </c>
      <c r="J1205" s="4" t="n">
        <v>15</v>
      </c>
      <c r="K1205" s="5" t="n">
        <v>4</v>
      </c>
      <c r="L1205" s="4" t="n">
        <v>48</v>
      </c>
      <c r="M1205" s="4" t="n">
        <v>15</v>
      </c>
      <c r="N1205" s="5" t="n">
        <v>4</v>
      </c>
      <c r="O1205" s="3" t="inlineStr">
        <is>
          <t>인기좋은 거실 큰 투룸 엘레베이터있는 투룸 넚고 크고 좋아요</t>
        </is>
      </c>
      <c r="P1205" s="6">
        <f>HYPERLINK("https://fin.land.naver.com/articles/2654110056", "매물Link")</f>
        <v/>
      </c>
      <c r="Q1205" s="6">
        <f>HYPERLINK("https://map.naver.com/p/search/장군면 도계리 159-2", "지도Link")</f>
        <v/>
      </c>
      <c r="R1205" s="6">
        <f>HYPERLINK("http://www.eum.go.kr/web/ar/lu/luLandDet.jsp?pnu=3611035021101590002&amp;isNoScr=script&amp;mode=search",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220.1</v>
      </c>
      <c r="V1205" s="4" t="n">
        <v>571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178-1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0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200</v>
      </c>
      <c r="H1206" s="4" t="n">
        <v>30</v>
      </c>
      <c r="I1206" s="4" t="n">
        <v>21</v>
      </c>
      <c r="J1206" s="4" t="n">
        <v>6</v>
      </c>
      <c r="K1206" s="5" t="n">
        <v>5</v>
      </c>
      <c r="L1206" s="4" t="n">
        <v>21</v>
      </c>
      <c r="M1206" s="4" t="n">
        <v>6</v>
      </c>
      <c r="N1206" s="5" t="n">
        <v>5</v>
      </c>
      <c r="O1206" s="3" t="inlineStr">
        <is>
          <t>세종 공주 등 접근성 양호(각 15분 거리)</t>
        </is>
      </c>
      <c r="P1206" s="6">
        <f>HYPERLINK("https://fin.land.naver.com/articles/2653340297", "매물Link")</f>
        <v/>
      </c>
      <c r="Q1206" s="6">
        <f>HYPERLINK("https://map.naver.com/p/search/장군면 도계리 178-1", "지도Link")</f>
        <v/>
      </c>
      <c r="R1206" s="6">
        <f>HYPERLINK("http://www.eum.go.kr/web/ar/lu/luLandDet.jsp?pnu=3611035021101780001&amp;isNoScr=script&amp;mode=search", "토지이음")</f>
        <v/>
      </c>
      <c r="S1206" s="3" t="inlineStr">
        <is>
          <t>상상</t>
        </is>
      </c>
      <c r="T1206" s="4" t="n">
        <v>2</v>
      </c>
      <c r="U1206" s="5" t="n">
        <v>251.7</v>
      </c>
      <c r="V1206" s="4" t="n">
        <v>292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소로한면</t>
        </is>
      </c>
    </row>
    <row r="1207">
      <c r="A1207" s="3" t="inlineStr">
        <is>
          <t>장군면 도계리 178-10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35</v>
      </c>
      <c r="I1207" s="4" t="n">
        <v>21</v>
      </c>
      <c r="J1207" s="4" t="n">
        <v>6</v>
      </c>
      <c r="K1207" s="5" t="n">
        <v>5.8</v>
      </c>
      <c r="L1207" s="4" t="n">
        <v>21</v>
      </c>
      <c r="M1207" s="4" t="n">
        <v>6</v>
      </c>
      <c r="N1207" s="5" t="n">
        <v>5.8</v>
      </c>
      <c r="O1207" s="3" t="inlineStr">
        <is>
          <t>장군면 최요지, 세종 시내버스 종점과 인접</t>
        </is>
      </c>
      <c r="P1207" s="6">
        <f>HYPERLINK("https://fin.land.naver.com/articles/2652706914", "매물Link")</f>
        <v/>
      </c>
      <c r="Q1207" s="6">
        <f>HYPERLINK("https://map.naver.com/p/search/장군면 도계리 178-10", "지도Link")</f>
        <v/>
      </c>
      <c r="R1207" s="6">
        <f>HYPERLINK("http://www.eum.go.kr/web/ar/lu/luLandDet.jsp?pnu=3611035021101780010&amp;isNoScr=script&amp;mode=search", "토지이음")</f>
        <v/>
      </c>
      <c r="S1207" s="3" t="inlineStr">
        <is>
          <t>새땅</t>
        </is>
      </c>
      <c r="T1207" s="4" t="n">
        <v>1</v>
      </c>
      <c r="U1207" s="5" t="n">
        <v>249.4</v>
      </c>
      <c r="V1207" s="4" t="n">
        <v>288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소로한면</t>
        </is>
      </c>
    </row>
    <row r="1208">
      <c r="A1208" s="3" t="inlineStr">
        <is>
          <t>장군면 도계리 178-4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69000</v>
      </c>
      <c r="H1208" s="4" t="n">
        <v>0</v>
      </c>
      <c r="I1208" s="4" t="n">
        <v>317</v>
      </c>
      <c r="J1208" s="4" t="n">
        <v>96</v>
      </c>
      <c r="K1208" s="5" t="n">
        <v>718.8</v>
      </c>
      <c r="L1208" s="4" t="n">
        <v>315</v>
      </c>
      <c r="M1208" s="4" t="n">
        <v>95</v>
      </c>
      <c r="N1208" s="5" t="n">
        <v>726.3</v>
      </c>
      <c r="O1208" s="3" t="inlineStr">
        <is>
          <t>가성비 짱 몸만 들어오면되는방 소액으로 투자하기 좋은집, 수익률좋아요</t>
        </is>
      </c>
      <c r="P1208" s="6">
        <f>HYPERLINK("https://fin.land.naver.com/articles/2653762356", "매물Link")</f>
        <v/>
      </c>
      <c r="Q1208" s="6">
        <f>HYPERLINK("https://map.naver.com/p/search/장군면 도계리 178-4", "지도Link")</f>
        <v/>
      </c>
      <c r="R1208" s="6">
        <f>HYPERLINK("http://www.eum.go.kr/web/ar/lu/luLandDet.jsp?pnu=3611035021101780004&amp;isNoScr=script&amp;mode=search",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237.5</v>
      </c>
      <c r="V1208" s="4" t="n">
        <v>317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178-4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68000</v>
      </c>
      <c r="H1209" s="4" t="n">
        <v>0</v>
      </c>
      <c r="I1209" s="4" t="n">
        <v>317</v>
      </c>
      <c r="J1209" s="4" t="n">
        <v>96</v>
      </c>
      <c r="K1209" s="5" t="n">
        <v>708.3</v>
      </c>
      <c r="L1209" s="4" t="n">
        <v>315</v>
      </c>
      <c r="M1209" s="4" t="n">
        <v>95</v>
      </c>
      <c r="N1209" s="5" t="n">
        <v>715.8</v>
      </c>
      <c r="O1209" s="3" t="inlineStr">
        <is>
          <t>000 장군면 예약1순위   공실없는 다가구 건물 000</t>
        </is>
      </c>
      <c r="P1209" s="6">
        <f>HYPERLINK("https://fin.land.naver.com/articles/2655358703", "매물Link")</f>
        <v/>
      </c>
      <c r="Q1209" s="6">
        <f>HYPERLINK("https://map.naver.com/p/search/장군면 도계리 178-4", "지도Link")</f>
        <v/>
      </c>
      <c r="R1209" s="6">
        <f>HYPERLINK("http://www.eum.go.kr/web/ar/lu/luLandDet.jsp?pnu=3611035021101780004&amp;isNoScr=script&amp;mode=search", "토지이음")</f>
        <v/>
      </c>
      <c r="S1209" s="3" t="inlineStr">
        <is>
          <t>신황제</t>
        </is>
      </c>
      <c r="T1209" s="4" t="n">
        <v>1</v>
      </c>
      <c r="U1209" s="5" t="n">
        <v>237.5</v>
      </c>
      <c r="V1209" s="4" t="n">
        <v>317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218-2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매매</t>
        </is>
      </c>
      <c r="G1210" s="4" t="n">
        <v>48000</v>
      </c>
      <c r="H1210" s="4" t="n">
        <v>0</v>
      </c>
      <c r="I1210" s="4" t="n">
        <v>305</v>
      </c>
      <c r="J1210" s="4" t="n">
        <v>92</v>
      </c>
      <c r="K1210" s="5" t="n">
        <v>521.7</v>
      </c>
      <c r="L1210" s="4" t="n">
        <v>95</v>
      </c>
      <c r="M1210" s="4" t="n">
        <v>29</v>
      </c>
      <c r="N1210" s="5" t="n">
        <v>1655.2</v>
      </c>
      <c r="O1210" s="3" t="inlineStr">
        <is>
          <t>장기초근접, 작은텃밭과 마당,채광이 잘 드는집,</t>
        </is>
      </c>
      <c r="P1210" s="6">
        <f>HYPERLINK("https://fin.land.naver.com/articles/2656160748", "매물Link")</f>
        <v/>
      </c>
      <c r="Q1210" s="6">
        <f>HYPERLINK("https://map.naver.com/p/search/장군면 도계리 218-2", "지도Link")</f>
        <v/>
      </c>
      <c r="R1210" s="6">
        <f>HYPERLINK("http://www.eum.go.kr/web/ar/lu/luLandDet.jsp?pnu=3611035021102180002&amp;isNoScr=script&amp;mode=search", "토지이음")</f>
        <v/>
      </c>
      <c r="S1210" s="3" t="inlineStr">
        <is>
          <t>담뜰</t>
        </is>
      </c>
      <c r="T1210" s="4" t="n">
        <v>1</v>
      </c>
      <c r="U1210" s="5" t="n">
        <v>225.4</v>
      </c>
      <c r="V1210" s="4" t="n">
        <v>305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218-2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매매</t>
        </is>
      </c>
      <c r="G1211" s="4" t="n">
        <v>48000</v>
      </c>
      <c r="H1211" s="4" t="n">
        <v>0</v>
      </c>
      <c r="I1211" s="4" t="n">
        <v>305</v>
      </c>
      <c r="J1211" s="4" t="n">
        <v>92</v>
      </c>
      <c r="K1211" s="5" t="n">
        <v>521.7</v>
      </c>
      <c r="L1211" s="4" t="n">
        <v>95</v>
      </c>
      <c r="M1211" s="4" t="n">
        <v>29</v>
      </c>
      <c r="N1211" s="5" t="n">
        <v>1655.2</v>
      </c>
      <c r="O1211" s="3" t="inlineStr">
        <is>
          <t>막힘없는 정남향 도로접한 계획관리지역 마당정원과 텃밭,가격조정가능</t>
        </is>
      </c>
      <c r="P1211" s="6">
        <f>HYPERLINK("https://fin.land.naver.com/articles/2656008461", "매물Link")</f>
        <v/>
      </c>
      <c r="Q1211" s="6">
        <f>HYPERLINK("https://map.naver.com/p/search/장군면 도계리 218-2", "지도Link")</f>
        <v/>
      </c>
      <c r="R1211" s="6">
        <f>HYPERLINK("http://www.eum.go.kr/web/ar/lu/luLandDet.jsp?pnu=3611035021102180002&amp;isNoScr=script&amp;mode=search",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225.4</v>
      </c>
      <c r="V1211" s="4" t="n">
        <v>305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220-2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24</v>
      </c>
      <c r="M1212" s="4" t="n">
        <v>7</v>
      </c>
      <c r="N1212" s="5" t="n">
        <v>4.3</v>
      </c>
      <c r="O1212" s="3" t="inlineStr">
        <is>
          <t>2층 월세임.작은방2.화1.</t>
        </is>
      </c>
      <c r="P1212" s="6">
        <f>HYPERLINK("https://fin.land.naver.com/articles/2652407597", "매물Link")</f>
        <v/>
      </c>
      <c r="Q1212" s="6">
        <f>HYPERLINK("https://map.naver.com/p/search/장군면 도계리 220-2", "지도Link")</f>
        <v/>
      </c>
      <c r="R1212" s="6">
        <f>HYPERLINK("http://www.eum.go.kr/web/ar/lu/luLandDet.jsp?pnu=3611035021102200002&amp;isNoScr=script&amp;mode=search", "토지이음")</f>
        <v/>
      </c>
      <c r="S1212" s="3" t="inlineStr">
        <is>
          <t>세종공주제일</t>
        </is>
      </c>
      <c r="T1212" s="4" t="n">
        <v>1</v>
      </c>
      <c r="U1212" s="5" t="n">
        <v>194.8</v>
      </c>
      <c r="V1212" s="4" t="n">
        <v>688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224-1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1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25</v>
      </c>
      <c r="I1213" s="4" t="n">
        <v>20</v>
      </c>
      <c r="J1213" s="4" t="n">
        <v>6</v>
      </c>
      <c r="K1213" s="5" t="n">
        <v>4.2</v>
      </c>
      <c r="L1213" s="4" t="n">
        <v>17</v>
      </c>
      <c r="M1213" s="4" t="n">
        <v>5</v>
      </c>
      <c r="N1213" s="5" t="n">
        <v>5</v>
      </c>
      <c r="O1213" s="3" t="inlineStr">
        <is>
          <t>버스정류장앞,세종시 최고 저렴한 원룸 세종청사10분거리</t>
        </is>
      </c>
      <c r="P1213" s="6">
        <f>HYPERLINK("https://fin.land.naver.com/articles/2653567657", "매물Link")</f>
        <v/>
      </c>
      <c r="Q1213" s="6">
        <f>HYPERLINK("https://map.naver.com/p/search/장군면 도계리 224-1", "지도Link")</f>
        <v/>
      </c>
      <c r="R1213" s="6">
        <f>HYPERLINK("http://www.eum.go.kr/web/ar/lu/luLandDet.jsp?pnu=3611035021102240001&amp;isNoScr=script&amp;mode=search",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235.1</v>
      </c>
      <c r="V1213" s="4" t="n">
        <v>326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224-1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25</v>
      </c>
      <c r="I1214" s="4" t="n">
        <v>20</v>
      </c>
      <c r="J1214" s="4" t="n">
        <v>6</v>
      </c>
      <c r="K1214" s="5" t="n">
        <v>4.2</v>
      </c>
      <c r="L1214" s="4" t="n">
        <v>17</v>
      </c>
      <c r="M1214" s="4" t="n">
        <v>5</v>
      </c>
      <c r="N1214" s="5" t="n">
        <v>5</v>
      </c>
      <c r="O1214" s="3" t="inlineStr">
        <is>
          <t>버스정류장앞,세종시 최고 저렴한 원룸 세종청사10분거리</t>
        </is>
      </c>
      <c r="P1214" s="6">
        <f>HYPERLINK("https://fin.land.naver.com/articles/2655109393", "매물Link")</f>
        <v/>
      </c>
      <c r="Q1214" s="6">
        <f>HYPERLINK("https://map.naver.com/p/search/장군면 도계리 224-1", "지도Link")</f>
        <v/>
      </c>
      <c r="R1214" s="6">
        <f>HYPERLINK("http://www.eum.go.kr/web/ar/lu/luLandDet.jsp?pnu=3611035021102240001&amp;isNoScr=script&amp;mode=search",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235.1</v>
      </c>
      <c r="V1214" s="4" t="n">
        <v>326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224-1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100</v>
      </c>
      <c r="H1215" s="4" t="n">
        <v>25</v>
      </c>
      <c r="I1215" s="4" t="n">
        <v>22</v>
      </c>
      <c r="J1215" s="4" t="n">
        <v>7</v>
      </c>
      <c r="K1215" s="5" t="n">
        <v>3.6</v>
      </c>
      <c r="L1215" s="4" t="n">
        <v>20</v>
      </c>
      <c r="M1215" s="4" t="n">
        <v>6</v>
      </c>
      <c r="N1215" s="5" t="n">
        <v>4.2</v>
      </c>
      <c r="O1215" s="3" t="inlineStr">
        <is>
          <t>000  조용한 저렴 원룸  000</t>
        </is>
      </c>
      <c r="P1215" s="6">
        <f>HYPERLINK("https://fin.land.naver.com/articles/2653561757", "매물Link")</f>
        <v/>
      </c>
      <c r="Q1215" s="6">
        <f>HYPERLINK("https://map.naver.com/p/search/장군면 도계리 224-1", "지도Link")</f>
        <v/>
      </c>
      <c r="R1215" s="6">
        <f>HYPERLINK("http://www.eum.go.kr/web/ar/lu/luLandDet.jsp?pnu=3611035021102240001&amp;isNoScr=script&amp;mode=search", "토지이음")</f>
        <v/>
      </c>
      <c r="S1215" s="3" t="inlineStr">
        <is>
          <t>신황제</t>
        </is>
      </c>
      <c r="T1215" s="4" t="n">
        <v>1</v>
      </c>
      <c r="U1215" s="5" t="n">
        <v>235.1</v>
      </c>
      <c r="V1215" s="4" t="n">
        <v>326</v>
      </c>
      <c r="W1215" s="3" t="inlineStr">
        <is>
          <t>지정되지않음</t>
        </is>
      </c>
      <c r="X1215" s="3" t="inlineStr">
        <is>
          <t>다세대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224-1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1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25</v>
      </c>
      <c r="I1216" s="4" t="n">
        <v>23</v>
      </c>
      <c r="J1216" s="4" t="n">
        <v>7</v>
      </c>
      <c r="K1216" s="5" t="n">
        <v>3.6</v>
      </c>
      <c r="L1216" s="4" t="n">
        <v>20</v>
      </c>
      <c r="M1216" s="4" t="n">
        <v>6</v>
      </c>
      <c r="N1216" s="5" t="n">
        <v>4.2</v>
      </c>
      <c r="O1216" s="3" t="inlineStr">
        <is>
          <t>000  세종시 아주 착한 월세 000</t>
        </is>
      </c>
      <c r="P1216" s="6">
        <f>HYPERLINK("https://fin.land.naver.com/articles/2655101545", "매물Link")</f>
        <v/>
      </c>
      <c r="Q1216" s="6">
        <f>HYPERLINK("https://map.naver.com/p/search/장군면 도계리 224-1", "지도Link")</f>
        <v/>
      </c>
      <c r="R1216" s="6">
        <f>HYPERLINK("http://www.eum.go.kr/web/ar/lu/luLandDet.jsp?pnu=3611035021102240001&amp;isNoScr=script&amp;mode=search", "토지이음")</f>
        <v/>
      </c>
      <c r="S1216" s="3" t="inlineStr">
        <is>
          <t>신황제</t>
        </is>
      </c>
      <c r="T1216" s="4" t="n">
        <v>2</v>
      </c>
      <c r="U1216" s="5" t="n">
        <v>235.1</v>
      </c>
      <c r="V1216" s="4" t="n">
        <v>326</v>
      </c>
      <c r="W1216" s="3" t="inlineStr">
        <is>
          <t>지정되지않음</t>
        </is>
      </c>
      <c r="X1216" s="3" t="inlineStr">
        <is>
          <t>다세대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24</v>
      </c>
      <c r="J1217" s="4" t="n">
        <v>7</v>
      </c>
      <c r="K1217" s="5" t="n">
        <v>3.6</v>
      </c>
      <c r="L1217" s="4" t="n">
        <v>20</v>
      </c>
      <c r="M1217" s="4" t="n">
        <v>6</v>
      </c>
      <c r="N1217" s="5" t="n">
        <v>4.2</v>
      </c>
      <c r="O1217" s="3" t="inlineStr">
        <is>
          <t>000  조용한 저렴 원룸  000</t>
        </is>
      </c>
      <c r="P1217" s="6">
        <f>HYPERLINK("https://fin.land.naver.com/articles/2653841664",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신황제</t>
        </is>
      </c>
      <c r="T1217" s="4" t="n">
        <v>2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월세</t>
        </is>
      </c>
      <c r="G1219" s="4" t="n">
        <v>500</v>
      </c>
      <c r="H1219" s="4" t="n">
        <v>60</v>
      </c>
      <c r="I1219" s="4" t="n">
        <v>55</v>
      </c>
      <c r="J1219" s="4" t="n">
        <v>17</v>
      </c>
      <c r="K1219" s="5" t="n">
        <v>3.5</v>
      </c>
      <c r="L1219" s="4" t="n">
        <v>55</v>
      </c>
      <c r="M1219" s="4" t="n">
        <v>17</v>
      </c>
      <c r="N1219" s="5" t="n">
        <v>3.5</v>
      </c>
      <c r="O1219" s="3" t="inlineStr">
        <is>
          <t>장군면 소재지 지역</t>
        </is>
      </c>
      <c r="P1219" s="6">
        <f>HYPERLINK("https://fin.land.naver.com/articles/2655975532", "매물Link")</f>
        <v/>
      </c>
      <c r="Q1219" s="6">
        <f>HYPERLINK("https://map.naver.com/p/search/장군면 도계리 224-10", "지도Link")</f>
        <v/>
      </c>
      <c r="R1219" s="6">
        <f>HYPERLINK("http://www.eum.go.kr/web/ar/lu/luLandDet.jsp?pnu=3611035021102240010&amp;isNoScr=script&amp;mode=search", "토지이음")</f>
        <v/>
      </c>
      <c r="S1219" s="3" t="inlineStr">
        <is>
          <t>상상</t>
        </is>
      </c>
      <c r="T1219" s="4" t="n">
        <v>1</v>
      </c>
      <c r="U1219" s="5" t="n">
        <v>233</v>
      </c>
      <c r="V1219" s="4" t="n">
        <v>333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상가주택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275</v>
      </c>
      <c r="J1220" s="4" t="n">
        <v>83</v>
      </c>
      <c r="K1220" s="5" t="n">
        <v>578.3</v>
      </c>
      <c r="L1220" s="4" t="n">
        <v>196</v>
      </c>
      <c r="M1220" s="4" t="n">
        <v>59</v>
      </c>
      <c r="N1220" s="5" t="n">
        <v>813.6</v>
      </c>
      <c r="O1220" s="3" t="inlineStr">
        <is>
          <t>단독주택상가 도계지구 귀한수익형건물,조율가능,현재임차중</t>
        </is>
      </c>
      <c r="P1220" s="6">
        <f>HYPERLINK("https://fin.land.naver.com/articles/2654594336", "매물Link")</f>
        <v/>
      </c>
      <c r="Q1220" s="6">
        <f>HYPERLINK("https://map.naver.com/p/search/장군면 도계리 226-1", "지도Link")</f>
        <v/>
      </c>
      <c r="R1220" s="6">
        <f>HYPERLINK("http://www.eum.go.kr/web/ar/lu/luLandDet.jsp?pnu=3611035021102260001&amp;isNoScr=script&amp;mode=search", "토지이음")</f>
        <v/>
      </c>
      <c r="S1220" s="3" t="inlineStr">
        <is>
          <t>이루다</t>
        </is>
      </c>
      <c r="T1220" s="4" t="n">
        <v>1</v>
      </c>
      <c r="U1220" s="5" t="n">
        <v>213.9</v>
      </c>
      <c r="V1220" s="4" t="n">
        <v>275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276-25</t>
        </is>
      </c>
      <c r="B1221" s="3" t="inlineStr">
        <is>
          <t>계획관리지역</t>
        </is>
      </c>
      <c r="C1221" s="3" t="inlineStr">
        <is>
          <t>임야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30</v>
      </c>
      <c r="I1221" s="4" t="n">
        <v>26</v>
      </c>
      <c r="J1221" s="4" t="n">
        <v>8</v>
      </c>
      <c r="K1221" s="5" t="n">
        <v>3.8</v>
      </c>
      <c r="L1221" s="4" t="n">
        <v>23</v>
      </c>
      <c r="M1221" s="4" t="n">
        <v>7</v>
      </c>
      <c r="N1221" s="5" t="n">
        <v>4.3</v>
      </c>
      <c r="O1221" s="3" t="inlineStr">
        <is>
          <t>세종시 장군면 넒은 원룸 풀옵션</t>
        </is>
      </c>
      <c r="P1221" s="6">
        <f>HYPERLINK("https://fin.land.naver.com/articles/2652727219", "매물Link")</f>
        <v/>
      </c>
      <c r="Q1221" s="6">
        <f>HYPERLINK("https://map.naver.com/p/search/장군면 도계리 276-25", "지도Link")</f>
        <v/>
      </c>
      <c r="R1221" s="6">
        <f>HYPERLINK("http://www.eum.go.kr/web/ar/lu/luLandDet.jsp?pnu=3611035021102760025&amp;isNoScr=script&amp;mode=search",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225.3</v>
      </c>
      <c r="V1221" s="4" t="n">
        <v>494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276-27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30</v>
      </c>
      <c r="I1222" s="4" t="n">
        <v>24</v>
      </c>
      <c r="J1222" s="4" t="n">
        <v>7</v>
      </c>
      <c r="K1222" s="5" t="n">
        <v>4.3</v>
      </c>
      <c r="L1222" s="4" t="n">
        <v>20</v>
      </c>
      <c r="M1222" s="4" t="n">
        <v>6</v>
      </c>
      <c r="N1222" s="5" t="n">
        <v>5</v>
      </c>
      <c r="O1222" s="3" t="inlineStr">
        <is>
          <t>nan</t>
        </is>
      </c>
      <c r="P1222" s="6">
        <f>HYPERLINK("https://fin.land.naver.com/articles/2653576372", "매물Link")</f>
        <v/>
      </c>
      <c r="Q1222" s="6">
        <f>HYPERLINK("https://map.naver.com/p/search/장군면 도계리 276-27", "지도Link")</f>
        <v/>
      </c>
      <c r="R1222" s="6">
        <f>HYPERLINK("http://www.eum.go.kr/web/ar/lu/luLandDet.jsp?pnu=3611035021102760027&amp;isNoScr=script&amp;mode=search",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225.3</v>
      </c>
      <c r="V1222" s="4" t="n">
        <v>252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276-27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000깔끔 원룸 환영합나다 000</t>
        </is>
      </c>
      <c r="P1223" s="6">
        <f>HYPERLINK("https://fin.land.naver.com/articles/2655104066", "매물Link")</f>
        <v/>
      </c>
      <c r="Q1223" s="6">
        <f>HYPERLINK("https://map.naver.com/p/search/장군면 도계리 276-27", "지도Link")</f>
        <v/>
      </c>
      <c r="R1223" s="6">
        <f>HYPERLINK("http://www.eum.go.kr/web/ar/lu/luLandDet.jsp?pnu=3611035021102760027&amp;isNoScr=script&amp;mode=search",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225.3</v>
      </c>
      <c r="V1223" s="4" t="n">
        <v>252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276-27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24</v>
      </c>
      <c r="J1224" s="4" t="n">
        <v>7</v>
      </c>
      <c r="K1224" s="5" t="n">
        <v>4.3</v>
      </c>
      <c r="L1224" s="4" t="n">
        <v>23</v>
      </c>
      <c r="M1224" s="4" t="n">
        <v>7</v>
      </c>
      <c r="N1224" s="5" t="n">
        <v>4.3</v>
      </c>
      <c r="O1224" s="3" t="inlineStr">
        <is>
          <t>조용하고 주차좋은 저렴한 원룸,세종청사10분,공주10분거리</t>
        </is>
      </c>
      <c r="P1224" s="6">
        <f>HYPERLINK("https://fin.land.naver.com/articles/2653565766", "매물Link")</f>
        <v/>
      </c>
      <c r="Q1224" s="6">
        <f>HYPERLINK("https://map.naver.com/p/search/장군면 도계리 276-27", "지도Link")</f>
        <v/>
      </c>
      <c r="R1224" s="6">
        <f>HYPERLINK("http://www.eum.go.kr/web/ar/lu/luLandDet.jsp?pnu=3611035021102760027&amp;isNoScr=script&amp;mode=search",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225.3</v>
      </c>
      <c r="V1224" s="4" t="n">
        <v>252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276-27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24</v>
      </c>
      <c r="J1225" s="4" t="n">
        <v>7</v>
      </c>
      <c r="K1225" s="5" t="n">
        <v>4.3</v>
      </c>
      <c r="L1225" s="4" t="n">
        <v>20</v>
      </c>
      <c r="M1225" s="4" t="n">
        <v>6</v>
      </c>
      <c r="N1225" s="5" t="n">
        <v>5</v>
      </c>
      <c r="O1225" s="3" t="inlineStr">
        <is>
          <t>000층간소음 0,베란다,주차최고,깔끔,화사한  원룸000</t>
        </is>
      </c>
      <c r="P1225" s="6">
        <f>HYPERLINK("https://fin.land.naver.com/articles/2653565939", "매물Link")</f>
        <v/>
      </c>
      <c r="Q1225" s="6">
        <f>HYPERLINK("https://map.naver.com/p/search/장군면 도계리 276-27", "지도Link")</f>
        <v/>
      </c>
      <c r="R1225" s="6">
        <f>HYPERLINK("http://www.eum.go.kr/web/ar/lu/luLandDet.jsp?pnu=3611035021102760027&amp;isNoScr=script&amp;mode=search",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225.3</v>
      </c>
      <c r="V1225" s="4" t="n">
        <v>252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282-14</t>
        </is>
      </c>
      <c r="B1226" s="3" t="inlineStr">
        <is>
          <t>보전관리지역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전원주택</t>
        </is>
      </c>
      <c r="F1226" s="3" t="inlineStr">
        <is>
          <t>매매</t>
        </is>
      </c>
      <c r="G1226" s="4" t="n">
        <v>57000</v>
      </c>
      <c r="H1226" s="4" t="n">
        <v>0</v>
      </c>
      <c r="I1226" s="4" t="n">
        <v>490</v>
      </c>
      <c r="J1226" s="4" t="n">
        <v>148</v>
      </c>
      <c r="K1226" s="5" t="n">
        <v>385.1</v>
      </c>
      <c r="L1226" s="4" t="n">
        <v>164</v>
      </c>
      <c r="M1226" s="4" t="n">
        <v>50</v>
      </c>
      <c r="N1226" s="5" t="n">
        <v>1140</v>
      </c>
      <c r="O1226" s="3" t="inlineStr">
        <is>
          <t>전망좋은2층집,에어컨5,인덕션,세종시내 접근용이</t>
        </is>
      </c>
      <c r="P1226" s="6">
        <f>HYPERLINK("https://fin.land.naver.com/articles/2653031808", "매물Link")</f>
        <v/>
      </c>
      <c r="Q1226" s="6">
        <f>HYPERLINK("https://map.naver.com/p/search/장군면 도계리 282-14", "지도Link")</f>
        <v/>
      </c>
      <c r="R1226" s="6">
        <f>HYPERLINK("http://www.eum.go.kr/web/ar/lu/luLandDet.jsp?pnu=3611035021102820014&amp;isNoScr=script&amp;mode=search", "토지이음")</f>
        <v/>
      </c>
      <c r="S1226" s="3" t="inlineStr">
        <is>
          <t>세종나라</t>
        </is>
      </c>
      <c r="T1226" s="4" t="n">
        <v>2</v>
      </c>
      <c r="U1226" s="5" t="n">
        <v>122.1</v>
      </c>
      <c r="V1226" s="4" t="n">
        <v>490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282-31</t>
        </is>
      </c>
      <c r="B1227" s="3" t="inlineStr">
        <is>
          <t>보전관리지역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전원주택</t>
        </is>
      </c>
      <c r="F1227" s="3" t="inlineStr">
        <is>
          <t>매매</t>
        </is>
      </c>
      <c r="G1227" s="4" t="n">
        <v>59000</v>
      </c>
      <c r="H1227" s="4" t="n">
        <v>0</v>
      </c>
      <c r="I1227" s="4" t="n">
        <v>570</v>
      </c>
      <c r="J1227" s="4" t="n">
        <v>172</v>
      </c>
      <c r="K1227" s="5" t="n">
        <v>343</v>
      </c>
      <c r="L1227" s="4" t="n">
        <v>196</v>
      </c>
      <c r="M1227" s="4" t="n">
        <v>59</v>
      </c>
      <c r="N1227" s="5" t="n">
        <v>1000</v>
      </c>
      <c r="O1227" s="3" t="inlineStr">
        <is>
          <t>도계리 전원주택 , 조망권 최상</t>
        </is>
      </c>
      <c r="P1227" s="6">
        <f>HYPERLINK("https://fin.land.naver.com/articles/2651916189", "매물Link")</f>
        <v/>
      </c>
      <c r="Q1227" s="6">
        <f>HYPERLINK("https://map.naver.com/p/search/장군면 도계리 282-31", "지도Link")</f>
        <v/>
      </c>
      <c r="R1227" s="6">
        <f>HYPERLINK("http://www.eum.go.kr/web/ar/lu/luLandDet.jsp?pnu=3611035021102820031&amp;isNoScr=script&amp;mode=search", "토지이음")</f>
        <v/>
      </c>
      <c r="S1227" s="3" t="inlineStr">
        <is>
          <t>THE다온</t>
        </is>
      </c>
      <c r="T1227" s="4" t="n">
        <v>1</v>
      </c>
      <c r="U1227" s="5" t="n">
        <v>122.1</v>
      </c>
      <c r="V1227" s="4" t="n">
        <v>570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282-31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59000</v>
      </c>
      <c r="H1228" s="4" t="n">
        <v>0</v>
      </c>
      <c r="I1228" s="4" t="n">
        <v>570</v>
      </c>
      <c r="J1228" s="4" t="n">
        <v>172</v>
      </c>
      <c r="K1228" s="5" t="n">
        <v>343</v>
      </c>
      <c r="L1228" s="4" t="n">
        <v>196</v>
      </c>
      <c r="M1228" s="4" t="n">
        <v>59</v>
      </c>
      <c r="N1228" s="5" t="n">
        <v>1000</v>
      </c>
      <c r="O1228" s="3" t="inlineStr">
        <is>
          <t>nan</t>
        </is>
      </c>
      <c r="P1228" s="6">
        <f>HYPERLINK("https://fin.land.naver.com/articles/2654330580", "매물Link")</f>
        <v/>
      </c>
      <c r="Q1228" s="6">
        <f>HYPERLINK("https://map.naver.com/p/search/장군면 도계리 282-31", "지도Link")</f>
        <v/>
      </c>
      <c r="R1228" s="6">
        <f>HYPERLINK("http://www.eum.go.kr/web/ar/lu/luLandDet.jsp?pnu=3611035021102820031&amp;isNoScr=script&amp;mode=search", "토지이음")</f>
        <v/>
      </c>
      <c r="S1228" s="3" t="inlineStr">
        <is>
          <t>링크</t>
        </is>
      </c>
      <c r="T1228" s="4" t="n">
        <v>1</v>
      </c>
      <c r="U1228" s="5" t="n">
        <v>122.1</v>
      </c>
      <c r="V1228" s="4" t="n">
        <v>570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42-7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100</v>
      </c>
      <c r="H1229" s="4" t="n">
        <v>30</v>
      </c>
      <c r="I1229" s="4" t="n">
        <v>25</v>
      </c>
      <c r="J1229" s="4" t="n">
        <v>8</v>
      </c>
      <c r="K1229" s="5" t="n">
        <v>3.8</v>
      </c>
      <c r="L1229" s="4" t="n">
        <v>24</v>
      </c>
      <c r="M1229" s="4" t="n">
        <v>7</v>
      </c>
      <c r="N1229" s="5" t="n">
        <v>4.3</v>
      </c>
      <c r="O1229" s="3" t="inlineStr">
        <is>
          <t>분리형 원룸, 풀옵션 세종청사 10분거리, 주변편의시설완비</t>
        </is>
      </c>
      <c r="P1229" s="6">
        <f>HYPERLINK("https://fin.land.naver.com/articles/2656195195", "매물Link")</f>
        <v/>
      </c>
      <c r="Q1229" s="6">
        <f>HYPERLINK("https://map.naver.com/p/search/장군면 도계리 42-7", "지도Link")</f>
        <v/>
      </c>
      <c r="R1229" s="6">
        <f>HYPERLINK("http://www.eum.go.kr/web/ar/lu/luLandDet.jsp?pnu=3611035021100420007&amp;isNoScr=script&amp;mode=search",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231.2</v>
      </c>
      <c r="V1229" s="4" t="n">
        <v>436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소로한면</t>
        </is>
      </c>
    </row>
    <row r="1230">
      <c r="A1230" s="3" t="inlineStr">
        <is>
          <t>장군면 도계리 43-9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다가구</t>
        </is>
      </c>
      <c r="F1230" s="3" t="inlineStr">
        <is>
          <t>매매</t>
        </is>
      </c>
      <c r="G1230" s="4" t="n">
        <v>73000</v>
      </c>
      <c r="H1230" s="4" t="n">
        <v>0</v>
      </c>
      <c r="I1230" s="4" t="n">
        <v>412</v>
      </c>
      <c r="J1230" s="4" t="n">
        <v>125</v>
      </c>
      <c r="K1230" s="5" t="n">
        <v>584</v>
      </c>
      <c r="L1230" s="4" t="n">
        <v>124</v>
      </c>
      <c r="M1230" s="4" t="n">
        <v>38</v>
      </c>
      <c r="N1230" s="5" t="n">
        <v>1921.1</v>
      </c>
      <c r="O1230" s="3" t="inlineStr">
        <is>
          <t>nan</t>
        </is>
      </c>
      <c r="P1230" s="6">
        <f>HYPERLINK("https://fin.land.naver.com/articles/2655435099", "매물Link")</f>
        <v/>
      </c>
      <c r="Q1230" s="6">
        <f>HYPERLINK("https://map.naver.com/p/search/장군면 도계리 43-9", "지도Link")</f>
        <v/>
      </c>
      <c r="R1230" s="6">
        <f>HYPERLINK("http://www.eum.go.kr/web/ar/lu/luLandDet.jsp?pnu=3611035021100430009&amp;isNoScr=script&amp;mode=search",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237.5</v>
      </c>
      <c r="V1230" s="4" t="n">
        <v>416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가로장방</t>
        </is>
      </c>
      <c r="AA1230" s="3" t="inlineStr">
        <is>
          <t>세로한면(가)</t>
        </is>
      </c>
    </row>
    <row r="1231">
      <c r="A1231" s="3" t="inlineStr">
        <is>
          <t>장군면 도계리 43-9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73000</v>
      </c>
      <c r="H1231" s="4" t="n">
        <v>0</v>
      </c>
      <c r="I1231" s="4" t="n">
        <v>416</v>
      </c>
      <c r="J1231" s="4" t="n">
        <v>126</v>
      </c>
      <c r="K1231" s="5" t="n">
        <v>579.4</v>
      </c>
      <c r="L1231" s="4" t="n">
        <v>412</v>
      </c>
      <c r="M1231" s="4" t="n">
        <v>125</v>
      </c>
      <c r="N1231" s="5" t="n">
        <v>584</v>
      </c>
      <c r="O1231" s="3" t="inlineStr">
        <is>
          <t>000 수익 최고형 다가구  주인세대2룸  000</t>
        </is>
      </c>
      <c r="P1231" s="6">
        <f>HYPERLINK("https://fin.land.naver.com/articles/2655356678", "매물Link")</f>
        <v/>
      </c>
      <c r="Q1231" s="6">
        <f>HYPERLINK("https://map.naver.com/p/search/장군면 도계리 43-9", "지도Link")</f>
        <v/>
      </c>
      <c r="R1231" s="6">
        <f>HYPERLINK("http://www.eum.go.kr/web/ar/lu/luLandDet.jsp?pnu=3611035021100430009&amp;isNoScr=script&amp;mode=search",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237.5</v>
      </c>
      <c r="V1231" s="4" t="n">
        <v>416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세로한면(가)</t>
        </is>
      </c>
    </row>
    <row r="1232">
      <c r="A1232" s="3" t="inlineStr">
        <is>
          <t>장군면 봉안리 176-14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130000</v>
      </c>
      <c r="H1232" s="4" t="n">
        <v>0</v>
      </c>
      <c r="I1232" s="4" t="n">
        <v>496</v>
      </c>
      <c r="J1232" s="4" t="n">
        <v>150</v>
      </c>
      <c r="K1232" s="5" t="n">
        <v>866.7</v>
      </c>
      <c r="L1232" s="4" t="n">
        <v>484</v>
      </c>
      <c r="M1232" s="4" t="n">
        <v>146</v>
      </c>
      <c r="N1232" s="5" t="n">
        <v>890.4</v>
      </c>
      <c r="O1232" s="3" t="inlineStr">
        <is>
          <t>세종시 장군면 봉안리 소미길 해오름2동 통매매 매매가적극조율가능</t>
        </is>
      </c>
      <c r="P1232" s="6">
        <f>HYPERLINK("https://fin.land.naver.com/articles/2654015669", "매물Link")</f>
        <v/>
      </c>
      <c r="Q1232" s="6">
        <f>HYPERLINK("https://map.naver.com/p/search/장군면 봉안리 176-14", "지도Link")</f>
        <v/>
      </c>
      <c r="R1232" s="6">
        <f>HYPERLINK("http://www.eum.go.kr/web/ar/lu/luLandDet.jsp?pnu=3611035024101760014&amp;isNoScr=script&amp;mode=search", "토지이음")</f>
        <v/>
      </c>
      <c r="S1232" s="3" t="inlineStr">
        <is>
          <t>고운하임</t>
        </is>
      </c>
      <c r="T1232" s="4" t="n">
        <v>1</v>
      </c>
      <c r="U1232" s="5" t="n">
        <v>271.6</v>
      </c>
      <c r="V1232" s="4" t="n">
        <v>438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가로장방</t>
        </is>
      </c>
      <c r="AA1232" s="3" t="inlineStr">
        <is>
          <t>세로한면(가)</t>
        </is>
      </c>
    </row>
    <row r="1233">
      <c r="A1233" s="3" t="inlineStr">
        <is>
          <t>장군면 봉안리 176-14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130000</v>
      </c>
      <c r="H1233" s="4" t="n">
        <v>0</v>
      </c>
      <c r="I1233" s="4" t="n">
        <v>496</v>
      </c>
      <c r="J1233" s="4" t="n">
        <v>150</v>
      </c>
      <c r="K1233" s="5" t="n">
        <v>866.7</v>
      </c>
      <c r="L1233" s="4" t="n">
        <v>484</v>
      </c>
      <c r="M1233" s="4" t="n">
        <v>146</v>
      </c>
      <c r="N1233" s="5" t="n">
        <v>890.4</v>
      </c>
      <c r="O1233" s="3" t="inlineStr">
        <is>
          <t>장군면 봉안리 다가구주택 19호실 통매매, 수익율 7.0P,적극조율</t>
        </is>
      </c>
      <c r="P1233" s="6">
        <f>HYPERLINK("https://fin.land.naver.com/articles/2652893943", "매물Link")</f>
        <v/>
      </c>
      <c r="Q1233" s="6">
        <f>HYPERLINK("https://map.naver.com/p/search/장군면 봉안리 176-14", "지도Link")</f>
        <v/>
      </c>
      <c r="R1233" s="6">
        <f>HYPERLINK("http://www.eum.go.kr/web/ar/lu/luLandDet.jsp?pnu=3611035024101760014&amp;isNoScr=script&amp;mode=search", "토지이음")</f>
        <v/>
      </c>
      <c r="S1233" s="3" t="inlineStr">
        <is>
          <t>광장</t>
        </is>
      </c>
      <c r="T1233" s="4" t="n">
        <v>1</v>
      </c>
      <c r="U1233" s="5" t="n">
        <v>271.6</v>
      </c>
      <c r="V1233" s="4" t="n">
        <v>438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가로장방</t>
        </is>
      </c>
      <c r="AA1233" s="3" t="inlineStr">
        <is>
          <t>세로한면(가)</t>
        </is>
      </c>
    </row>
    <row r="1234">
      <c r="A1234" s="3" t="inlineStr">
        <is>
          <t>장군면 봉안리 201-1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30</v>
      </c>
      <c r="I1234" s="4" t="n">
        <v>24</v>
      </c>
      <c r="J1234" s="4" t="n">
        <v>7</v>
      </c>
      <c r="K1234" s="5" t="n">
        <v>4.3</v>
      </c>
      <c r="L1234" s="4" t="n">
        <v>20</v>
      </c>
      <c r="M1234" s="4" t="n">
        <v>6</v>
      </c>
      <c r="N1234" s="5" t="n">
        <v>5</v>
      </c>
      <c r="O1234" s="3" t="inlineStr">
        <is>
          <t>깔끔한 빌트인구조의 오픈형 원룸 1인가구 필수품 전자렌지 있는 원룸 월세</t>
        </is>
      </c>
      <c r="P1234" s="6">
        <f>HYPERLINK("https://fin.land.naver.com/articles/2655380050", "매물Link")</f>
        <v/>
      </c>
      <c r="Q1234" s="6">
        <f>HYPERLINK("https://map.naver.com/p/search/장군면 봉안리 201-1", "지도Link")</f>
        <v/>
      </c>
      <c r="R1234" s="6">
        <f>HYPERLINK("http://www.eum.go.kr/web/ar/lu/luLandDet.jsp?pnu=3611035024102010001&amp;isNoScr=script&amp;mode=search",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271.6</v>
      </c>
      <c r="V1234" s="4" t="n">
        <v>521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201-16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전세</t>
        </is>
      </c>
      <c r="G1235" s="4" t="n">
        <v>4000</v>
      </c>
      <c r="H1235" s="4" t="n">
        <v>0</v>
      </c>
      <c r="I1235" s="4" t="n">
        <v>24</v>
      </c>
      <c r="J1235" s="4" t="n">
        <v>7</v>
      </c>
      <c r="K1235" s="5" t="n">
        <v>571.4</v>
      </c>
      <c r="L1235" s="4" t="n">
        <v>22</v>
      </c>
      <c r="M1235" s="4" t="n">
        <v>7</v>
      </c>
      <c r="N1235" s="5" t="n">
        <v>571.4</v>
      </c>
      <c r="O1235" s="3" t="inlineStr">
        <is>
          <t>12월초 입주가능 .청사,공주10분,대형 마트 부근 풀옵션 원룸 전세</t>
        </is>
      </c>
      <c r="P1235" s="6">
        <f>HYPERLINK("https://fin.land.naver.com/articles/2655249404", "매물Link")</f>
        <v/>
      </c>
      <c r="Q1235" s="6">
        <f>HYPERLINK("https://map.naver.com/p/search/장군면 봉안리 201-16", "지도Link")</f>
        <v/>
      </c>
      <c r="R1235" s="6">
        <f>HYPERLINK("http://www.eum.go.kr/web/ar/lu/luLandDet.jsp?pnu=3611035024102010016&amp;isNoScr=script&amp;mode=search",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271.6</v>
      </c>
      <c r="V1235" s="4" t="n">
        <v>477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201-18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11월말입주.고운동,다정동에서 가장 가까운 대형마트부근 남동향 깔끔원룸</t>
        </is>
      </c>
      <c r="P1236" s="6">
        <f>HYPERLINK("https://fin.land.naver.com/articles/2655735980", "매물Link")</f>
        <v/>
      </c>
      <c r="Q1236" s="6">
        <f>HYPERLINK("https://map.naver.com/p/search/장군면 봉안리 201-18", "지도Link")</f>
        <v/>
      </c>
      <c r="R1236" s="6">
        <f>HYPERLINK("http://www.eum.go.kr/web/ar/lu/luLandDet.jsp?pnu=3611035024102010018&amp;isNoScr=script&amp;mode=search",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271.6</v>
      </c>
      <c r="V1236" s="4" t="n">
        <v>436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201-21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100000</v>
      </c>
      <c r="H1237" s="4" t="n">
        <v>0</v>
      </c>
      <c r="I1237" s="4" t="n">
        <v>410</v>
      </c>
      <c r="J1237" s="4" t="n">
        <v>124</v>
      </c>
      <c r="K1237" s="5" t="n">
        <v>806.5</v>
      </c>
      <c r="L1237" s="4" t="n">
        <v>403</v>
      </c>
      <c r="M1237" s="4" t="n">
        <v>122</v>
      </c>
      <c r="N1237" s="5" t="n">
        <v>819.7</v>
      </c>
      <c r="O1237" s="3" t="inlineStr">
        <is>
          <t>급매 19호실 임대완료, 세종행정복합도시와 근접하여 빠르게임차인 입주</t>
        </is>
      </c>
      <c r="P1237" s="6">
        <f>HYPERLINK("https://fin.land.naver.com/articles/2655554799", "매물Link")</f>
        <v/>
      </c>
      <c r="Q1237" s="6">
        <f>HYPERLINK("https://map.naver.com/p/search/장군면 봉안리 201-21", "지도Link")</f>
        <v/>
      </c>
      <c r="R1237" s="6">
        <f>HYPERLINK("http://www.eum.go.kr/web/ar/lu/luLandDet.jsp?pnu=3611035024102010021&amp;isNoScr=script&amp;mode=search", "토지이음")</f>
        <v/>
      </c>
      <c r="S1237" s="3" t="inlineStr">
        <is>
          <t>세종태양</t>
        </is>
      </c>
      <c r="T1237" s="4" t="n">
        <v>1</v>
      </c>
      <c r="U1237" s="5" t="n">
        <v>271.6</v>
      </c>
      <c r="V1237" s="4" t="n">
        <v>410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205-2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56000</v>
      </c>
      <c r="H1238" s="4" t="n">
        <v>0</v>
      </c>
      <c r="I1238" s="4" t="n">
        <v>396</v>
      </c>
      <c r="J1238" s="4" t="n">
        <v>120</v>
      </c>
      <c r="K1238" s="5" t="n">
        <v>466.7</v>
      </c>
      <c r="L1238" s="4" t="n">
        <v>83</v>
      </c>
      <c r="M1238" s="4" t="n">
        <v>25</v>
      </c>
      <c r="N1238" s="5" t="n">
        <v>2240</v>
      </c>
      <c r="O1238" s="3" t="inlineStr">
        <is>
          <t>장군면 봉안리 리모텔링 완료한 단독주택</t>
        </is>
      </c>
      <c r="P1238" s="6">
        <f>HYPERLINK("https://fin.land.naver.com/articles/2653539942", "매물Link")</f>
        <v/>
      </c>
      <c r="Q1238" s="6">
        <f>HYPERLINK("https://map.naver.com/p/search/장군면 봉안리 205-2", "지도Link")</f>
        <v/>
      </c>
      <c r="R1238" s="6">
        <f>HYPERLINK("http://www.eum.go.kr/web/ar/lu/luLandDet.jsp?pnu=3611035024102050002&amp;isNoScr=script&amp;mode=search",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254.8</v>
      </c>
      <c r="V1238" s="4" t="n">
        <v>396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210-5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125000</v>
      </c>
      <c r="H1239" s="4" t="n">
        <v>0</v>
      </c>
      <c r="I1239" s="4" t="n">
        <v>430</v>
      </c>
      <c r="J1239" s="4" t="n">
        <v>130</v>
      </c>
      <c r="K1239" s="5" t="n">
        <v>961.5</v>
      </c>
      <c r="L1239" s="4" t="n">
        <v>425</v>
      </c>
      <c r="M1239" s="4" t="n">
        <v>129</v>
      </c>
      <c r="N1239" s="5" t="n">
        <v>969</v>
      </c>
      <c r="O1239" s="3" t="inlineStr">
        <is>
          <t>엘리베이터, 풀옵션, 관리최상</t>
        </is>
      </c>
      <c r="P1239" s="6">
        <f>HYPERLINK("https://fin.land.naver.com/articles/2654036749", "매물Link")</f>
        <v/>
      </c>
      <c r="Q1239" s="6">
        <f>HYPERLINK("https://map.naver.com/p/search/장군면 봉안리 210-5", "지도Link")</f>
        <v/>
      </c>
      <c r="R1239" s="6">
        <f>HYPERLINK("http://www.eum.go.kr/web/ar/lu/luLandDet.jsp?pnu=3611035024102100005&amp;isNoScr=script&amp;mode=search", "토지이음")</f>
        <v/>
      </c>
      <c r="S1239" s="3" t="inlineStr">
        <is>
          <t>한뜰금빛</t>
        </is>
      </c>
      <c r="T1239" s="4" t="n">
        <v>1</v>
      </c>
      <c r="U1239" s="5" t="n">
        <v>254.8</v>
      </c>
      <c r="V1239" s="4" t="n">
        <v>420</v>
      </c>
      <c r="W1239" s="3" t="inlineStr">
        <is>
          <t>지정되지않음</t>
        </is>
      </c>
      <c r="X1239" s="3" t="inlineStr">
        <is>
          <t>주거기타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210-5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123000</v>
      </c>
      <c r="H1240" s="4" t="n">
        <v>0</v>
      </c>
      <c r="I1240" s="4" t="n">
        <v>430</v>
      </c>
      <c r="J1240" s="4" t="n">
        <v>130</v>
      </c>
      <c r="K1240" s="5" t="n">
        <v>946.2</v>
      </c>
      <c r="L1240" s="4" t="n">
        <v>425</v>
      </c>
      <c r="M1240" s="4" t="n">
        <v>129</v>
      </c>
      <c r="N1240" s="5" t="n">
        <v>953.5</v>
      </c>
      <c r="O1240" s="3" t="inlineStr">
        <is>
          <t>000 주인세대있는매물 1층상가,엘리베이터가동 000</t>
        </is>
      </c>
      <c r="P1240" s="6">
        <f>HYPERLINK("https://fin.land.naver.com/articles/2655357137", "매물Link")</f>
        <v/>
      </c>
      <c r="Q1240" s="6">
        <f>HYPERLINK("https://map.naver.com/p/search/장군면 봉안리 210-5", "지도Link")</f>
        <v/>
      </c>
      <c r="R1240" s="6">
        <f>HYPERLINK("http://www.eum.go.kr/web/ar/lu/luLandDet.jsp?pnu=3611035024102100005&amp;isNoScr=script&amp;mode=search",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254.8</v>
      </c>
      <c r="V1240" s="4" t="n">
        <v>420</v>
      </c>
      <c r="W1240" s="3" t="inlineStr">
        <is>
          <t>지정되지않음</t>
        </is>
      </c>
      <c r="X1240" s="3" t="inlineStr">
        <is>
          <t>주거기타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210-5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23</v>
      </c>
      <c r="J1241" s="4" t="n">
        <v>7</v>
      </c>
      <c r="K1241" s="5" t="n">
        <v>4.3</v>
      </c>
      <c r="L1241" s="4" t="n">
        <v>22</v>
      </c>
      <c r="M1241" s="4" t="n">
        <v>7</v>
      </c>
      <c r="N1241" s="5" t="n">
        <v>4.3</v>
      </c>
      <c r="O1241" s="3" t="inlineStr">
        <is>
          <t>승강기있는 면소재지 근처 주변편의 시설완비 환기잘되는 원룸</t>
        </is>
      </c>
      <c r="P1241" s="6">
        <f>HYPERLINK("https://fin.land.naver.com/articles/2651425691", "매물Link")</f>
        <v/>
      </c>
      <c r="Q1241" s="6">
        <f>HYPERLINK("https://map.naver.com/p/search/장군면 봉안리 210-5", "지도Link")</f>
        <v/>
      </c>
      <c r="R1241" s="6">
        <f>HYPERLINK("http://www.eum.go.kr/web/ar/lu/luLandDet.jsp?pnu=3611035024102100005&amp;isNoScr=script&amp;mode=search",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254.8</v>
      </c>
      <c r="V1241" s="4" t="n">
        <v>420</v>
      </c>
      <c r="W1241" s="3" t="inlineStr">
        <is>
          <t>지정되지않음</t>
        </is>
      </c>
      <c r="X1241" s="3" t="inlineStr">
        <is>
          <t>주거기타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216-36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전원주택</t>
        </is>
      </c>
      <c r="F1242" s="3" t="inlineStr">
        <is>
          <t>전세</t>
        </is>
      </c>
      <c r="G1242" s="4" t="n">
        <v>25000</v>
      </c>
      <c r="H1242" s="4" t="n">
        <v>0</v>
      </c>
      <c r="I1242" s="4" t="n">
        <v>911</v>
      </c>
      <c r="J1242" s="4" t="n">
        <v>276</v>
      </c>
      <c r="K1242" s="5" t="n">
        <v>90.59999999999999</v>
      </c>
      <c r="L1242" s="4" t="n">
        <v>443</v>
      </c>
      <c r="M1242" s="4" t="n">
        <v>134</v>
      </c>
      <c r="N1242" s="5" t="n">
        <v>186.6</v>
      </c>
      <c r="O1242" s="3" t="inlineStr">
        <is>
          <t>방4, 욕실3, 넓은화장실, 에어컨4대, 단독주택 월세 전세 조율가능</t>
        </is>
      </c>
      <c r="P1242" s="6">
        <f>HYPERLINK("https://fin.land.naver.com/articles/2653776521", "매물Link")</f>
        <v/>
      </c>
      <c r="Q1242" s="6">
        <f>HYPERLINK("https://map.naver.com/p/search/장군면 봉안리 216-36", "지도Link")</f>
        <v/>
      </c>
      <c r="R1242" s="6">
        <f>HYPERLINK("http://www.eum.go.kr/web/ar/lu/luLandDet.jsp?pnu=3611035024102160036&amp;isNoScr=script&amp;mode=search", "토지이음")</f>
        <v/>
      </c>
      <c r="S1242" s="3" t="inlineStr">
        <is>
          <t>헌또</t>
        </is>
      </c>
      <c r="T1242" s="4" t="n">
        <v>1</v>
      </c>
      <c r="U1242" s="5" t="n">
        <v>330.6</v>
      </c>
      <c r="V1242" s="4" t="n">
        <v>472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완경사</t>
        </is>
      </c>
      <c r="Z1242" s="3" t="inlineStr">
        <is>
          <t>세로장방</t>
        </is>
      </c>
      <c r="AA1242" s="3" t="inlineStr">
        <is>
          <t>세로한면(가)</t>
        </is>
      </c>
    </row>
    <row r="1243">
      <c r="A1243" s="3" t="inlineStr">
        <is>
          <t>장군면 봉안리 22-109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78000</v>
      </c>
      <c r="H1243" s="4" t="n">
        <v>0</v>
      </c>
      <c r="I1243" s="4" t="n">
        <v>320</v>
      </c>
      <c r="J1243" s="4" t="n">
        <v>97</v>
      </c>
      <c r="K1243" s="5" t="n">
        <v>804.1</v>
      </c>
      <c r="L1243" s="4" t="n">
        <v>120</v>
      </c>
      <c r="M1243" s="4" t="n">
        <v>36</v>
      </c>
      <c r="N1243" s="5" t="n">
        <v>2166.7</v>
      </c>
      <c r="O1243" s="3" t="inlineStr">
        <is>
          <t>정원이 있는 아담한잡. 급매</t>
        </is>
      </c>
      <c r="P1243" s="6">
        <f>HYPERLINK("https://fin.land.naver.com/articles/2654930426", "매물Link")</f>
        <v/>
      </c>
      <c r="Q1243" s="6">
        <f>HYPERLINK("https://map.naver.com/p/search/장군면 봉안리 22-109", "지도Link")</f>
        <v/>
      </c>
      <c r="R1243" s="6">
        <f>HYPERLINK("http://www.eum.go.kr/web/ar/lu/luLandDet.jsp?pnu=3611035024100220109&amp;isNoScr=script&amp;mode=search", "토지이음")</f>
        <v/>
      </c>
      <c r="S1243" s="3" t="inlineStr">
        <is>
          <t>최무연</t>
        </is>
      </c>
      <c r="T1243" s="4" t="n">
        <v>1</v>
      </c>
      <c r="U1243" s="5" t="n">
        <v>212.5</v>
      </c>
      <c r="V1243" s="4" t="n">
        <v>320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소로한면</t>
        </is>
      </c>
    </row>
    <row r="1244">
      <c r="A1244" s="3" t="inlineStr">
        <is>
          <t>장군면 봉안리 259-2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30</v>
      </c>
      <c r="I1244" s="4" t="n">
        <v>26</v>
      </c>
      <c r="J1244" s="4" t="n">
        <v>8</v>
      </c>
      <c r="K1244" s="5" t="n">
        <v>3.8</v>
      </c>
      <c r="L1244" s="4" t="n">
        <v>23</v>
      </c>
      <c r="M1244" s="4" t="n">
        <v>7</v>
      </c>
      <c r="N1244" s="5" t="n">
        <v>4.3</v>
      </c>
      <c r="O1244" s="3" t="inlineStr">
        <is>
          <t>세종시 장군면 풀옵션 원룸</t>
        </is>
      </c>
      <c r="P1244" s="6">
        <f>HYPERLINK("https://fin.land.naver.com/articles/2655730672", "매물Link")</f>
        <v/>
      </c>
      <c r="Q1244" s="6">
        <f>HYPERLINK("https://map.naver.com/p/search/장군면 봉안리 259-2", "지도Link")</f>
        <v/>
      </c>
      <c r="R1244" s="6">
        <f>HYPERLINK("http://www.eum.go.kr/web/ar/lu/luLandDet.jsp?pnu=3611035024102590002&amp;isNoScr=script&amp;mode=search", "토지이음")</f>
        <v/>
      </c>
      <c r="S1244" s="3" t="inlineStr">
        <is>
          <t>황금</t>
        </is>
      </c>
      <c r="T1244" s="4" t="n">
        <v>1</v>
      </c>
      <c r="U1244" s="5" t="n">
        <v>257.1</v>
      </c>
      <c r="V1244" s="4" t="n">
        <v>490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29-17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115000</v>
      </c>
      <c r="H1245" s="4" t="n">
        <v>0</v>
      </c>
      <c r="I1245" s="4" t="n">
        <v>661</v>
      </c>
      <c r="J1245" s="4" t="n">
        <v>200</v>
      </c>
      <c r="K1245" s="5" t="n">
        <v>575</v>
      </c>
      <c r="L1245" s="4" t="n">
        <v>240</v>
      </c>
      <c r="M1245" s="4" t="n">
        <v>73</v>
      </c>
      <c r="N1245" s="5" t="n">
        <v>1575.3</v>
      </c>
      <c r="O1245" s="3" t="inlineStr">
        <is>
          <t>생명나무, 봉안리 대지200p 벙커주차장. 넓은정원. 정부청사 7분거리</t>
        </is>
      </c>
      <c r="P1245" s="6">
        <f>HYPERLINK("https://fin.land.naver.com/articles/2652249654", "매물Link")</f>
        <v/>
      </c>
      <c r="Q1245" s="6">
        <f>HYPERLINK("https://map.naver.com/p/search/장군면 봉안리 29-17", "지도Link")</f>
        <v/>
      </c>
      <c r="R1245" s="6">
        <f>HYPERLINK("http://www.eum.go.kr/web/ar/lu/luLandDet.jsp?pnu=3611035024100290017&amp;isNoScr=script&amp;mode=search", "토지이음")</f>
        <v/>
      </c>
      <c r="S1245" s="3" t="inlineStr">
        <is>
          <t>생명나무</t>
        </is>
      </c>
      <c r="T1245" s="4" t="n">
        <v>1</v>
      </c>
      <c r="U1245" s="5" t="n">
        <v>168.6</v>
      </c>
      <c r="V1245" s="4" t="n">
        <v>661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세로장방</t>
        </is>
      </c>
      <c r="AA1245" s="3" t="inlineStr">
        <is>
          <t>세로한면(가)</t>
        </is>
      </c>
    </row>
    <row r="1246">
      <c r="A1246" s="3" t="inlineStr">
        <is>
          <t>장군면 봉안리 296-3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단독</t>
        </is>
      </c>
      <c r="F1246" s="3" t="inlineStr">
        <is>
          <t>월세</t>
        </is>
      </c>
      <c r="G1246" s="4" t="n">
        <v>300</v>
      </c>
      <c r="H1246" s="4" t="n">
        <v>60</v>
      </c>
      <c r="I1246" s="4" t="n">
        <v>38</v>
      </c>
      <c r="J1246" s="4" t="n">
        <v>11</v>
      </c>
      <c r="K1246" s="5" t="n">
        <v>5.5</v>
      </c>
      <c r="L1246" s="4" t="n">
        <v>36</v>
      </c>
      <c r="M1246" s="4" t="n">
        <v>11</v>
      </c>
      <c r="N1246" s="5" t="n">
        <v>5.5</v>
      </c>
      <c r="O1246" s="3" t="inlineStr">
        <is>
          <t>대출없음.다정동 고운동3분, 깔끔한 주방분리형 방2개 투룸 월세</t>
        </is>
      </c>
      <c r="P1246" s="6">
        <f>HYPERLINK("https://fin.land.naver.com/articles/2655012293", "매물Link")</f>
        <v/>
      </c>
      <c r="Q1246" s="6">
        <f>HYPERLINK("https://map.naver.com/p/search/장군면 봉안리 296-3", "지도Link")</f>
        <v/>
      </c>
      <c r="R1246" s="6">
        <f>HYPERLINK("http://www.eum.go.kr/web/ar/lu/luLandDet.jsp?pnu=3611035024102960003&amp;isNoScr=script&amp;mode=search",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284.3</v>
      </c>
      <c r="V1246" s="4" t="n">
        <v>415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296-3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3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nan</t>
        </is>
      </c>
      <c r="P1247" s="6">
        <f>HYPERLINK("https://fin.land.naver.com/articles/2655251353", "매물Link")</f>
        <v/>
      </c>
      <c r="Q1247" s="6">
        <f>HYPERLINK("https://map.naver.com/p/search/장군면 봉안리 296-3", "지도Link")</f>
        <v/>
      </c>
      <c r="R1247" s="6">
        <f>HYPERLINK("http://www.eum.go.kr/web/ar/lu/luLandDet.jsp?pnu=3611035024102960003&amp;isNoScr=script&amp;mode=search",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415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296-4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단독</t>
        </is>
      </c>
      <c r="F1248" s="3" t="inlineStr">
        <is>
          <t>월세</t>
        </is>
      </c>
      <c r="G1248" s="4" t="n">
        <v>200</v>
      </c>
      <c r="H1248" s="4" t="n">
        <v>65</v>
      </c>
      <c r="I1248" s="4" t="n">
        <v>40</v>
      </c>
      <c r="J1248" s="4" t="n">
        <v>12</v>
      </c>
      <c r="K1248" s="5" t="n">
        <v>5.4</v>
      </c>
      <c r="L1248" s="4" t="n">
        <v>38</v>
      </c>
      <c r="M1248" s="4" t="n">
        <v>11</v>
      </c>
      <c r="N1248" s="5" t="n">
        <v>5.9</v>
      </c>
      <c r="O1248" s="3" t="inlineStr">
        <is>
          <t>대출없음,새롬동,나성동10분, 화장실,에어컨2개 있는 투룸</t>
        </is>
      </c>
      <c r="P1248" s="6">
        <f>HYPERLINK("https://fin.land.naver.com/articles/2656314920", "매물Link")</f>
        <v/>
      </c>
      <c r="Q1248" s="6">
        <f>HYPERLINK("https://map.naver.com/p/search/장군면 봉안리 296-4", "지도Link")</f>
        <v/>
      </c>
      <c r="R1248" s="6">
        <f>HYPERLINK("http://www.eum.go.kr/web/ar/lu/luLandDet.jsp?pnu=3611035024102960004&amp;isNoScr=script&amp;mode=search",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284.3</v>
      </c>
      <c r="V1248" s="4" t="n">
        <v>677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장군면 봉안리 296-4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65</v>
      </c>
      <c r="I1249" s="4" t="n">
        <v>40</v>
      </c>
      <c r="J1249" s="4" t="n">
        <v>12</v>
      </c>
      <c r="K1249" s="5" t="n">
        <v>5.4</v>
      </c>
      <c r="L1249" s="4" t="n">
        <v>38</v>
      </c>
      <c r="M1249" s="4" t="n">
        <v>11</v>
      </c>
      <c r="N1249" s="5" t="n">
        <v>5.9</v>
      </c>
      <c r="O1249" s="3" t="inlineStr">
        <is>
          <t>000  깔끔 투룸 화장살 2, 청사,공주인접 000</t>
        </is>
      </c>
      <c r="P1249" s="6">
        <f>HYPERLINK("https://fin.land.naver.com/articles/2655100777", "매물Link")</f>
        <v/>
      </c>
      <c r="Q1249" s="6">
        <f>HYPERLINK("https://map.naver.com/p/search/장군면 봉안리 296-4", "지도Link")</f>
        <v/>
      </c>
      <c r="R1249" s="6">
        <f>HYPERLINK("http://www.eum.go.kr/web/ar/lu/luLandDet.jsp?pnu=3611035024102960004&amp;isNoScr=script&amp;mode=search",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284.3</v>
      </c>
      <c r="V1249" s="4" t="n">
        <v>677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298-2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60</v>
      </c>
      <c r="I1250" s="4" t="n">
        <v>50</v>
      </c>
      <c r="J1250" s="4" t="n">
        <v>15</v>
      </c>
      <c r="K1250" s="5" t="n">
        <v>4</v>
      </c>
      <c r="L1250" s="4" t="n">
        <v>48</v>
      </c>
      <c r="M1250" s="4" t="n">
        <v>15</v>
      </c>
      <c r="N1250" s="5" t="n">
        <v>4</v>
      </c>
      <c r="O1250" s="3" t="inlineStr">
        <is>
          <t>밝은 남향방 깨끗한 방, 과기부7분 세종청사가까운 깔끔한 투룸</t>
        </is>
      </c>
      <c r="P1250" s="6">
        <f>HYPERLINK("https://fin.land.naver.com/articles/2655100671", "매물Link")</f>
        <v/>
      </c>
      <c r="Q1250" s="6">
        <f>HYPERLINK("https://map.naver.com/p/search/장군면 봉안리 298-2", "지도Link")</f>
        <v/>
      </c>
      <c r="R1250" s="6">
        <f>HYPERLINK("http://www.eum.go.kr/web/ar/lu/luLandDet.jsp?pnu=3611035024102980002&amp;isNoScr=script&amp;mode=search", "토지이음")</f>
        <v/>
      </c>
      <c r="S1250" s="3" t="inlineStr">
        <is>
          <t>황제</t>
        </is>
      </c>
      <c r="T1250" s="4" t="n">
        <v>1</v>
      </c>
      <c r="U1250" s="5" t="n">
        <v>305.7</v>
      </c>
      <c r="V1250" s="4" t="n">
        <v>435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299-1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1000</v>
      </c>
      <c r="H1251" s="4" t="n">
        <v>28</v>
      </c>
      <c r="I1251" s="4" t="n">
        <v>23</v>
      </c>
      <c r="J1251" s="4" t="n">
        <v>7</v>
      </c>
      <c r="K1251" s="5" t="n">
        <v>4</v>
      </c>
      <c r="L1251" s="4" t="n">
        <v>20</v>
      </c>
      <c r="M1251" s="4" t="n">
        <v>6</v>
      </c>
      <c r="N1251" s="5" t="n">
        <v>4.7</v>
      </c>
      <c r="O1251" s="3" t="inlineStr">
        <is>
          <t>청사10분, 침대,책상,전자렌지 1인가구필수품 다 있는 풀옵션 원룸 월세</t>
        </is>
      </c>
      <c r="P1251" s="6">
        <f>HYPERLINK("https://fin.land.naver.com/articles/2654603536", "매물Link")</f>
        <v/>
      </c>
      <c r="Q1251" s="6">
        <f>HYPERLINK("https://map.naver.com/p/search/장군면 봉안리 299-1", "지도Link")</f>
        <v/>
      </c>
      <c r="R1251" s="6">
        <f>HYPERLINK("http://www.eum.go.kr/web/ar/lu/luLandDet.jsp?pnu=3611035024102990001&amp;isNoScr=script&amp;mode=search", "토지이음")</f>
        <v/>
      </c>
      <c r="S1251" s="3" t="inlineStr">
        <is>
          <t>이지</t>
        </is>
      </c>
      <c r="T1251" s="4" t="n">
        <v>1</v>
      </c>
      <c r="U1251" s="5" t="n">
        <v>284.3</v>
      </c>
      <c r="V1251" s="4" t="n">
        <v>349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303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전세</t>
        </is>
      </c>
      <c r="G1252" s="4" t="n">
        <v>5500</v>
      </c>
      <c r="H1252" s="4" t="n">
        <v>0</v>
      </c>
      <c r="I1252" s="4" t="n">
        <v>34</v>
      </c>
      <c r="J1252" s="4" t="n">
        <v>10</v>
      </c>
      <c r="K1252" s="5" t="n">
        <v>550</v>
      </c>
      <c r="L1252" s="4" t="n">
        <v>30</v>
      </c>
      <c r="M1252" s="4" t="n">
        <v>9</v>
      </c>
      <c r="N1252" s="5" t="n">
        <v>611.1</v>
      </c>
      <c r="O1252" s="3" t="inlineStr">
        <is>
          <t>임대보증보험가입가능. 청사, 공주10분 고운동,다정동5분 남향 1.5룸</t>
        </is>
      </c>
      <c r="P1252" s="6">
        <f>HYPERLINK("https://fin.land.naver.com/articles/2655736084", "매물Link")</f>
        <v/>
      </c>
      <c r="Q1252" s="6">
        <f>HYPERLINK("https://map.naver.com/p/search/장군면 봉안리 303", "지도Link")</f>
        <v/>
      </c>
      <c r="R1252" s="6">
        <f>HYPERLINK("http://www.eum.go.kr/web/ar/lu/luLandDet.jsp?pnu=3611035024103030000&amp;isNoScr=script&amp;mode=search",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313.3</v>
      </c>
      <c r="V1252" s="4" t="n">
        <v>474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세로각지(가)</t>
        </is>
      </c>
    </row>
    <row r="1253">
      <c r="A1253" s="3" t="inlineStr">
        <is>
          <t>장군면 봉안리 303-2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단독</t>
        </is>
      </c>
      <c r="F1253" s="3" t="inlineStr">
        <is>
          <t>매매</t>
        </is>
      </c>
      <c r="G1253" s="4" t="n">
        <v>97000</v>
      </c>
      <c r="H1253" s="4" t="n">
        <v>0</v>
      </c>
      <c r="I1253" s="4" t="n">
        <v>474</v>
      </c>
      <c r="J1253" s="4" t="n">
        <v>143</v>
      </c>
      <c r="K1253" s="5" t="n">
        <v>678.3</v>
      </c>
      <c r="L1253" s="4" t="n">
        <v>472</v>
      </c>
      <c r="M1253" s="4" t="n">
        <v>143</v>
      </c>
      <c r="N1253" s="5" t="n">
        <v>678.3</v>
      </c>
      <c r="O1253" s="3" t="inlineStr">
        <is>
          <t>월세 잘나오는 급매 수익률 좋은 세종시생활권근접한 다가주주택 매매</t>
        </is>
      </c>
      <c r="P1253" s="6">
        <f>HYPERLINK("https://fin.land.naver.com/articles/2655753344", "매물Link")</f>
        <v/>
      </c>
      <c r="Q1253" s="6">
        <f>HYPERLINK("https://map.naver.com/p/search/장군면 봉안리 303-2", "지도Link")</f>
        <v/>
      </c>
      <c r="R1253" s="6">
        <f>HYPERLINK("http://www.eum.go.kr/web/ar/lu/luLandDet.jsp?pnu=3611035024103030002&amp;isNoScr=script&amp;mode=search", "토지이음")</f>
        <v/>
      </c>
      <c r="S1253" s="3" t="inlineStr">
        <is>
          <t>이지</t>
        </is>
      </c>
      <c r="T1253" s="4" t="n">
        <v>2</v>
      </c>
      <c r="U1253" s="5" t="n">
        <v>305.7</v>
      </c>
      <c r="V1253" s="4" t="n">
        <v>474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다가구</t>
        </is>
      </c>
      <c r="F1254" s="3" t="inlineStr">
        <is>
          <t>매매</t>
        </is>
      </c>
      <c r="G1254" s="4" t="n">
        <v>97000</v>
      </c>
      <c r="H1254" s="4" t="n">
        <v>0</v>
      </c>
      <c r="I1254" s="4" t="n">
        <v>474</v>
      </c>
      <c r="J1254" s="4" t="n">
        <v>143</v>
      </c>
      <c r="K1254" s="5" t="n">
        <v>678.3</v>
      </c>
      <c r="L1254" s="4" t="n">
        <v>472</v>
      </c>
      <c r="M1254" s="4" t="n">
        <v>143</v>
      </c>
      <c r="N1254" s="5" t="n">
        <v>678.3</v>
      </c>
      <c r="O1254" s="3" t="inlineStr">
        <is>
          <t>000 급매물 수익형 장군면 최강추 다가구 000</t>
        </is>
      </c>
      <c r="P1254" s="6">
        <f>HYPERLINK("https://fin.land.naver.com/articles/2655363795", "매물Link")</f>
        <v/>
      </c>
      <c r="Q1254" s="6">
        <f>HYPERLINK("https://map.naver.com/p/search/장군면 봉안리 303-2", "지도Link")</f>
        <v/>
      </c>
      <c r="R1254" s="6">
        <f>HYPERLINK("http://www.eum.go.kr/web/ar/lu/luLandDet.jsp?pnu=3611035024103030002&amp;isNoScr=script&amp;mode=search",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305.7</v>
      </c>
      <c r="V1254" s="4" t="n">
        <v>474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303-3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청사10분, 공주10분 편의시설 형성된 풀옵션 베란다 원룸 월세</t>
        </is>
      </c>
      <c r="P1255" s="6">
        <f>HYPERLINK("https://fin.land.naver.com/articles/2656026976", "매물Link")</f>
        <v/>
      </c>
      <c r="Q1255" s="6">
        <f>HYPERLINK("https://map.naver.com/p/search/장군면 봉안리 303-3", "지도Link")</f>
        <v/>
      </c>
      <c r="R1255" s="6">
        <f>HYPERLINK("http://www.eum.go.kr/web/ar/lu/luLandDet.jsp?pnu=3611035024103030003&amp;isNoScr=script&amp;mode=search",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305.7</v>
      </c>
      <c r="V1255" s="4" t="n">
        <v>474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303-7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단독</t>
        </is>
      </c>
      <c r="F1256" s="3" t="inlineStr">
        <is>
          <t>매매</t>
        </is>
      </c>
      <c r="G1256" s="4" t="n">
        <v>120000</v>
      </c>
      <c r="H1256" s="4" t="n">
        <v>0</v>
      </c>
      <c r="I1256" s="4" t="n">
        <v>488</v>
      </c>
      <c r="J1256" s="4" t="n">
        <v>148</v>
      </c>
      <c r="K1256" s="5" t="n">
        <v>810.8</v>
      </c>
      <c r="L1256" s="4" t="n">
        <v>487</v>
      </c>
      <c r="M1256" s="4" t="n">
        <v>147</v>
      </c>
      <c r="N1256" s="5" t="n">
        <v>816.3</v>
      </c>
      <c r="O1256" s="3" t="inlineStr">
        <is>
          <t>편의시설 형성되어 있는 1층 편의점 상가주택 매매</t>
        </is>
      </c>
      <c r="P1256" s="6">
        <f>HYPERLINK("https://fin.land.naver.com/articles/2652022748", "매물Link")</f>
        <v/>
      </c>
      <c r="Q1256" s="6">
        <f>HYPERLINK("https://map.naver.com/p/search/장군면 봉안리 303-7", "지도Link")</f>
        <v/>
      </c>
      <c r="R1256" s="6">
        <f>HYPERLINK("http://www.eum.go.kr/web/ar/lu/luLandDet.jsp?pnu=3611035024103030007&amp;isNoScr=script&amp;mode=search",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305.7</v>
      </c>
      <c r="V1256" s="4" t="n">
        <v>488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세로한면(가)</t>
        </is>
      </c>
    </row>
    <row r="1257">
      <c r="A1257" s="3" t="inlineStr">
        <is>
          <t>장군면 봉안리 303-7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35</v>
      </c>
      <c r="I1257" s="4" t="n">
        <v>24</v>
      </c>
      <c r="J1257" s="4" t="n">
        <v>7</v>
      </c>
      <c r="K1257" s="5" t="n">
        <v>5</v>
      </c>
      <c r="L1257" s="4" t="n">
        <v>20</v>
      </c>
      <c r="M1257" s="4" t="n">
        <v>6</v>
      </c>
      <c r="N1257" s="5" t="n">
        <v>5.8</v>
      </c>
      <c r="O1257" s="3" t="inlineStr">
        <is>
          <t>000 봉안리 1룸 추천추천 000</t>
        </is>
      </c>
      <c r="P1257" s="6">
        <f>HYPERLINK("https://fin.land.naver.com/articles/2655451902", "매물Link")</f>
        <v/>
      </c>
      <c r="Q1257" s="6">
        <f>HYPERLINK("https://map.naver.com/p/search/장군면 봉안리 303-7", "지도Link")</f>
        <v/>
      </c>
      <c r="R1257" s="6">
        <f>HYPERLINK("http://www.eum.go.kr/web/ar/lu/luLandDet.jsp?pnu=3611035024103030007&amp;isNoScr=script&amp;mode=search", "토지이음")</f>
        <v/>
      </c>
      <c r="S1257" s="3" t="inlineStr">
        <is>
          <t>신황제</t>
        </is>
      </c>
      <c r="T1257" s="4" t="n">
        <v>1</v>
      </c>
      <c r="U1257" s="5" t="n">
        <v>305.7</v>
      </c>
      <c r="V1257" s="4" t="n">
        <v>488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303-7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2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35</v>
      </c>
      <c r="I1258" s="4" t="n">
        <v>24</v>
      </c>
      <c r="J1258" s="4" t="n">
        <v>7</v>
      </c>
      <c r="K1258" s="5" t="n">
        <v>5</v>
      </c>
      <c r="L1258" s="4" t="n">
        <v>22</v>
      </c>
      <c r="M1258" s="4" t="n">
        <v>7</v>
      </c>
      <c r="N1258" s="5" t="n">
        <v>5</v>
      </c>
      <c r="O1258" s="3" t="inlineStr">
        <is>
          <t>새롬동,나성동10분, 풀옵션 침대 베란다 있는 원룸 월세</t>
        </is>
      </c>
      <c r="P1258" s="6">
        <f>HYPERLINK("https://fin.land.naver.com/articles/2656134575", "매물Link")</f>
        <v/>
      </c>
      <c r="Q1258" s="6">
        <f>HYPERLINK("https://map.naver.com/p/search/장군면 봉안리 303-7", "지도Link")</f>
        <v/>
      </c>
      <c r="R1258" s="6">
        <f>HYPERLINK("http://www.eum.go.kr/web/ar/lu/luLandDet.jsp?pnu=3611035024103030007&amp;isNoScr=script&amp;mode=search", "토지이음")</f>
        <v/>
      </c>
      <c r="S1258" s="3" t="inlineStr">
        <is>
          <t>이지</t>
        </is>
      </c>
      <c r="T1258" s="4" t="n">
        <v>2</v>
      </c>
      <c r="U1258" s="5" t="n">
        <v>305.7</v>
      </c>
      <c r="V1258" s="4" t="n">
        <v>488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303-7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45</v>
      </c>
      <c r="I1259" s="4" t="n">
        <v>33</v>
      </c>
      <c r="J1259" s="4" t="n">
        <v>10</v>
      </c>
      <c r="K1259" s="5" t="n">
        <v>4.5</v>
      </c>
      <c r="L1259" s="4" t="n">
        <v>32</v>
      </c>
      <c r="M1259" s="4" t="n">
        <v>10</v>
      </c>
      <c r="N1259" s="5" t="n">
        <v>4.5</v>
      </c>
      <c r="O1259" s="3" t="inlineStr">
        <is>
          <t>깨끗하고 깔끔한 투베이 방하나 거실하나, 과기부7분 청사가까운 1.5룸</t>
        </is>
      </c>
      <c r="P1259" s="6">
        <f>HYPERLINK("https://fin.land.naver.com/articles/2654655181", "매물Link")</f>
        <v/>
      </c>
      <c r="Q1259" s="6">
        <f>HYPERLINK("https://map.naver.com/p/search/장군면 봉안리 303-7", "지도Link")</f>
        <v/>
      </c>
      <c r="R1259" s="6">
        <f>HYPERLINK("http://www.eum.go.kr/web/ar/lu/luLandDet.jsp?pnu=3611035024103030007&amp;isNoScr=script&amp;mode=search",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305.7</v>
      </c>
      <c r="V1259" s="4" t="n">
        <v>488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311-2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전원주택</t>
        </is>
      </c>
      <c r="F1260" s="3" t="inlineStr">
        <is>
          <t>매매</t>
        </is>
      </c>
      <c r="G1260" s="4" t="n">
        <v>75000</v>
      </c>
      <c r="H1260" s="4" t="n">
        <v>0</v>
      </c>
      <c r="I1260" s="4" t="n">
        <v>571</v>
      </c>
      <c r="J1260" s="4" t="n">
        <v>173</v>
      </c>
      <c r="K1260" s="5" t="n">
        <v>433.5</v>
      </c>
      <c r="L1260" s="4" t="n">
        <v>91</v>
      </c>
      <c r="M1260" s="4" t="n">
        <v>28</v>
      </c>
      <c r="N1260" s="5" t="n">
        <v>2678.6</v>
      </c>
      <c r="O1260" s="3" t="inlineStr">
        <is>
          <t>장군면 봉안리 위치최상의 단독주택</t>
        </is>
      </c>
      <c r="P1260" s="6">
        <f>HYPERLINK("https://fin.land.naver.com/articles/2655037871", "매물Link")</f>
        <v/>
      </c>
      <c r="Q1260" s="6">
        <f>HYPERLINK("https://map.naver.com/p/search/장군면 봉안리 311-2", "지도Link")</f>
        <v/>
      </c>
      <c r="R1260" s="6">
        <f>HYPERLINK("http://www.eum.go.kr/web/ar/lu/luLandDet.jsp?pnu=3611035024103110002&amp;isNoScr=script&amp;mode=search", "토지이음")</f>
        <v/>
      </c>
      <c r="S1260" s="3" t="inlineStr">
        <is>
          <t>세종천지</t>
        </is>
      </c>
      <c r="T1260" s="4" t="n">
        <v>1</v>
      </c>
      <c r="U1260" s="5" t="n">
        <v>305.7</v>
      </c>
      <c r="V1260" s="4" t="n">
        <v>571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311-2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75000</v>
      </c>
      <c r="H1261" s="4" t="n">
        <v>0</v>
      </c>
      <c r="I1261" s="4" t="n">
        <v>571</v>
      </c>
      <c r="J1261" s="4" t="n">
        <v>173</v>
      </c>
      <c r="K1261" s="5" t="n">
        <v>433.5</v>
      </c>
      <c r="L1261" s="4" t="n">
        <v>91</v>
      </c>
      <c r="M1261" s="4" t="n">
        <v>28</v>
      </c>
      <c r="N1261" s="5" t="n">
        <v>2678.6</v>
      </c>
      <c r="O1261" s="3" t="inlineStr">
        <is>
          <t>(급매)근린생활시설 가능한 단독주택 세종시 경계지역</t>
        </is>
      </c>
      <c r="P1261" s="6">
        <f>HYPERLINK("https://fin.land.naver.com/articles/2653340029", "매물Link")</f>
        <v/>
      </c>
      <c r="Q1261" s="6">
        <f>HYPERLINK("https://map.naver.com/p/search/장군면 봉안리 311-2", "지도Link")</f>
        <v/>
      </c>
      <c r="R1261" s="6">
        <f>HYPERLINK("http://www.eum.go.kr/web/ar/lu/luLandDet.jsp?pnu=3611035024103110002&amp;isNoScr=script&amp;mode=search",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305.7</v>
      </c>
      <c r="V1261" s="4" t="n">
        <v>571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가로장방</t>
        </is>
      </c>
      <c r="AA1261" s="3" t="inlineStr">
        <is>
          <t>세로한면(가)</t>
        </is>
      </c>
    </row>
    <row r="1262">
      <c r="A1262" s="3" t="inlineStr">
        <is>
          <t>장군면 봉안리 311-2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1</t>
        </is>
      </c>
      <c r="E1262" s="3" t="inlineStr">
        <is>
          <t>단독</t>
        </is>
      </c>
      <c r="F1262" s="3" t="inlineStr">
        <is>
          <t>매매</t>
        </is>
      </c>
      <c r="G1262" s="4" t="n">
        <v>75000</v>
      </c>
      <c r="H1262" s="4" t="n">
        <v>0</v>
      </c>
      <c r="I1262" s="4" t="n">
        <v>571</v>
      </c>
      <c r="J1262" s="4" t="n">
        <v>173</v>
      </c>
      <c r="K1262" s="5" t="n">
        <v>433.5</v>
      </c>
      <c r="L1262" s="4" t="n">
        <v>91</v>
      </c>
      <c r="M1262" s="4" t="n">
        <v>28</v>
      </c>
      <c r="N1262" s="5" t="n">
        <v>2678.6</v>
      </c>
      <c r="O1262" s="3" t="inlineStr">
        <is>
          <t>봉안리 요지 주택</t>
        </is>
      </c>
      <c r="P1262" s="6">
        <f>HYPERLINK("https://fin.land.naver.com/articles/2652279101", "매물Link")</f>
        <v/>
      </c>
      <c r="Q1262" s="6">
        <f>HYPERLINK("https://map.naver.com/p/search/장군면 봉안리 311-2", "지도Link")</f>
        <v/>
      </c>
      <c r="R1262" s="6">
        <f>HYPERLINK("http://www.eum.go.kr/web/ar/lu/luLandDet.jsp?pnu=3611035024103110002&amp;isNoScr=script&amp;mode=search",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305.7</v>
      </c>
      <c r="V1262" s="4" t="n">
        <v>571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가로장방</t>
        </is>
      </c>
      <c r="AA1262" s="3" t="inlineStr">
        <is>
          <t>세로한면(가)</t>
        </is>
      </c>
    </row>
    <row r="1263">
      <c r="A1263" s="3" t="inlineStr">
        <is>
          <t>장군면 봉안리 313-2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32</v>
      </c>
      <c r="I1263" s="4" t="n">
        <v>24</v>
      </c>
      <c r="J1263" s="4" t="n">
        <v>7</v>
      </c>
      <c r="K1263" s="5" t="n">
        <v>4.6</v>
      </c>
      <c r="L1263" s="4" t="n">
        <v>20</v>
      </c>
      <c r="M1263" s="4" t="n">
        <v>6</v>
      </c>
      <c r="N1263" s="5" t="n">
        <v>5.3</v>
      </c>
      <c r="O1263" s="3" t="inlineStr">
        <is>
          <t>00수납최고 ,주차 걱정N0,최상원룸   00</t>
        </is>
      </c>
      <c r="P1263" s="6">
        <f>HYPERLINK("https://fin.land.naver.com/articles/2655618530", "매물Link")</f>
        <v/>
      </c>
      <c r="Q1263" s="6">
        <f>HYPERLINK("https://map.naver.com/p/search/장군면 봉안리 313-2", "지도Link")</f>
        <v/>
      </c>
      <c r="R1263" s="6">
        <f>HYPERLINK("http://www.eum.go.kr/web/ar/lu/luLandDet.jsp?pnu=3611035024103130002&amp;isNoScr=script&amp;mode=search",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284.3</v>
      </c>
      <c r="V1263" s="4" t="n">
        <v>491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313-2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25</v>
      </c>
      <c r="J1264" s="4" t="n">
        <v>8</v>
      </c>
      <c r="K1264" s="5" t="n">
        <v>4</v>
      </c>
      <c r="L1264" s="4" t="n">
        <v>22</v>
      </c>
      <c r="M1264" s="4" t="n">
        <v>7</v>
      </c>
      <c r="N1264" s="5" t="n">
        <v>4.6</v>
      </c>
      <c r="O1264" s="3" t="inlineStr">
        <is>
          <t>00수납최고 ,주차 걱정N0,최상원룸   00</t>
        </is>
      </c>
      <c r="P1264" s="6">
        <f>HYPERLINK("https://fin.land.naver.com/articles/2653137114", "매물Link")</f>
        <v/>
      </c>
      <c r="Q1264" s="6">
        <f>HYPERLINK("https://map.naver.com/p/search/장군면 봉안리 313-2", "지도Link")</f>
        <v/>
      </c>
      <c r="R1264" s="6">
        <f>HYPERLINK("http://www.eum.go.kr/web/ar/lu/luLandDet.jsp?pnu=3611035024103130002&amp;isNoScr=script&amp;mode=search",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284.3</v>
      </c>
      <c r="V1264" s="4" t="n">
        <v>491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313-2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32</v>
      </c>
      <c r="I1265" s="4" t="n">
        <v>26</v>
      </c>
      <c r="J1265" s="4" t="n">
        <v>8</v>
      </c>
      <c r="K1265" s="5" t="n">
        <v>4</v>
      </c>
      <c r="L1265" s="4" t="n">
        <v>25</v>
      </c>
      <c r="M1265" s="4" t="n">
        <v>8</v>
      </c>
      <c r="N1265" s="5" t="n">
        <v>4</v>
      </c>
      <c r="O1265" s="3" t="inlineStr">
        <is>
          <t>봉안리 빌트인 풀옵션 편의시설 최고, 살기 좋은 대형 원룸</t>
        </is>
      </c>
      <c r="P1265" s="6">
        <f>HYPERLINK("https://fin.land.naver.com/articles/2653493604", "매물Link")</f>
        <v/>
      </c>
      <c r="Q1265" s="6">
        <f>HYPERLINK("https://map.naver.com/p/search/장군면 봉안리 313-2", "지도Link")</f>
        <v/>
      </c>
      <c r="R1265" s="6">
        <f>HYPERLINK("http://www.eum.go.kr/web/ar/lu/luLandDet.jsp?pnu=3611035024103130002&amp;isNoScr=script&amp;mode=search",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284.3</v>
      </c>
      <c r="V1265" s="4" t="n">
        <v>491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세로한면(가)</t>
        </is>
      </c>
    </row>
    <row r="1266">
      <c r="A1266" s="3" t="inlineStr">
        <is>
          <t>장군면 봉안리 313-2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32</v>
      </c>
      <c r="I1266" s="4" t="n">
        <v>27</v>
      </c>
      <c r="J1266" s="4" t="n">
        <v>8</v>
      </c>
      <c r="K1266" s="5" t="n">
        <v>4</v>
      </c>
      <c r="L1266" s="4" t="n">
        <v>24</v>
      </c>
      <c r="M1266" s="4" t="n">
        <v>7</v>
      </c>
      <c r="N1266" s="5" t="n">
        <v>4.6</v>
      </c>
      <c r="O1266" s="3" t="inlineStr">
        <is>
          <t>000 대형1룸수납짱 최상옵션 내국인전용 000</t>
        </is>
      </c>
      <c r="P1266" s="6">
        <f>HYPERLINK("https://fin.land.naver.com/articles/2653153288", "매물Link")</f>
        <v/>
      </c>
      <c r="Q1266" s="6">
        <f>HYPERLINK("https://map.naver.com/p/search/장군면 봉안리 313-2", "지도Link")</f>
        <v/>
      </c>
      <c r="R1266" s="6">
        <f>HYPERLINK("http://www.eum.go.kr/web/ar/lu/luLandDet.jsp?pnu=3611035024103130002&amp;isNoScr=script&amp;mode=search",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284.3</v>
      </c>
      <c r="V1266" s="4" t="n">
        <v>491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부정형</t>
        </is>
      </c>
      <c r="AA1266" s="3" t="inlineStr">
        <is>
          <t>세로한면(가)</t>
        </is>
      </c>
    </row>
    <row r="1267">
      <c r="A1267" s="3" t="inlineStr">
        <is>
          <t>장군면 봉안리 314-2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수납공간많음,청사10분  빌트인장 가성비 짱 북서향의 밝고 깨끗한 원룸</t>
        </is>
      </c>
      <c r="P1267" s="6">
        <f>HYPERLINK("https://fin.land.naver.com/articles/2653759477", "매물Link")</f>
        <v/>
      </c>
      <c r="Q1267" s="6">
        <f>HYPERLINK("https://map.naver.com/p/search/장군면 봉안리 314-2", "지도Link")</f>
        <v/>
      </c>
      <c r="R1267" s="6">
        <f>HYPERLINK("http://www.eum.go.kr/web/ar/lu/luLandDet.jsp?pnu=3611035024103140002&amp;isNoScr=script&amp;mode=search",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284.3</v>
      </c>
      <c r="V1267" s="4" t="n">
        <v>383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봉안리 314-4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32</v>
      </c>
      <c r="I1268" s="4" t="n">
        <v>23</v>
      </c>
      <c r="J1268" s="4" t="n">
        <v>7</v>
      </c>
      <c r="K1268" s="5" t="n">
        <v>4.6</v>
      </c>
      <c r="L1268" s="4" t="n">
        <v>22</v>
      </c>
      <c r="M1268" s="4" t="n">
        <v>7</v>
      </c>
      <c r="N1268" s="5" t="n">
        <v>4.6</v>
      </c>
      <c r="O1268" s="3" t="inlineStr">
        <is>
          <t>햇빛 쨍쨍 청사10분  빌트인장 가성비 짱 수납공간 짱  깨끗한 원룸</t>
        </is>
      </c>
      <c r="P1268" s="6">
        <f>HYPERLINK("https://fin.land.naver.com/articles/2653926030", "매물Link")</f>
        <v/>
      </c>
      <c r="Q1268" s="6">
        <f>HYPERLINK("https://map.naver.com/p/search/장군면 봉안리 314-4", "지도Link")</f>
        <v/>
      </c>
      <c r="R1268" s="6">
        <f>HYPERLINK("http://www.eum.go.kr/web/ar/lu/luLandDet.jsp?pnu=3611035024103140004&amp;isNoScr=script&amp;mode=search",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284.3</v>
      </c>
      <c r="V1268" s="4" t="n">
        <v>299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315-2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5000</v>
      </c>
      <c r="H1269" s="4" t="n">
        <v>120</v>
      </c>
      <c r="I1269" s="4" t="n">
        <v>372</v>
      </c>
      <c r="J1269" s="4" t="n">
        <v>113</v>
      </c>
      <c r="K1269" s="5" t="n">
        <v>1.1</v>
      </c>
      <c r="L1269" s="4" t="n">
        <v>92</v>
      </c>
      <c r="M1269" s="4" t="n">
        <v>28</v>
      </c>
      <c r="N1269" s="5" t="n">
        <v>4.3</v>
      </c>
      <c r="O1269" s="3" t="inlineStr">
        <is>
          <t>애견가능, 창고별도, 도시가스, 잔디마당, 일부인테리어, 내년2월협의입주</t>
        </is>
      </c>
      <c r="P1269" s="6">
        <f>HYPERLINK("https://fin.land.naver.com/articles/2653783057", "매물Link")</f>
        <v/>
      </c>
      <c r="Q1269" s="6">
        <f>HYPERLINK("https://map.naver.com/p/search/장군면 봉안리 315-2", "지도Link")</f>
        <v/>
      </c>
      <c r="R1269" s="6">
        <f>HYPERLINK("http://www.eum.go.kr/web/ar/lu/luLandDet.jsp?pnu=3611035024103150002&amp;isNoScr=script&amp;mode=search", "토지이음")</f>
        <v/>
      </c>
      <c r="S1269" s="3" t="inlineStr">
        <is>
          <t>백프로</t>
        </is>
      </c>
      <c r="T1269" s="4" t="n">
        <v>1</v>
      </c>
      <c r="U1269" s="5" t="n">
        <v>308.7</v>
      </c>
      <c r="V1269" s="4" t="n">
        <v>370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316-2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35</v>
      </c>
      <c r="I1270" s="4" t="n">
        <v>24</v>
      </c>
      <c r="J1270" s="4" t="n">
        <v>7</v>
      </c>
      <c r="K1270" s="5" t="n">
        <v>5</v>
      </c>
      <c r="L1270" s="4" t="n">
        <v>22</v>
      </c>
      <c r="M1270" s="4" t="n">
        <v>7</v>
      </c>
      <c r="N1270" s="5" t="n">
        <v>5</v>
      </c>
      <c r="O1270" s="3" t="inlineStr">
        <is>
          <t>승강기있음 버스정류장3분 깔끔 풀옵션 침대 원룸 월세</t>
        </is>
      </c>
      <c r="P1270" s="6">
        <f>HYPERLINK("https://fin.land.naver.com/articles/2654214443", "매물Link")</f>
        <v/>
      </c>
      <c r="Q1270" s="6">
        <f>HYPERLINK("https://map.naver.com/p/search/장군면 봉안리 316-2", "지도Link")</f>
        <v/>
      </c>
      <c r="R1270" s="6">
        <f>HYPERLINK("http://www.eum.go.kr/web/ar/lu/luLandDet.jsp?pnu=3611035024103160002&amp;isNoScr=script&amp;mode=search", "토지이음")</f>
        <v/>
      </c>
      <c r="S1270" s="3" t="inlineStr">
        <is>
          <t>이지</t>
        </is>
      </c>
      <c r="T1270" s="4" t="n">
        <v>1</v>
      </c>
      <c r="U1270" s="5" t="n">
        <v>309</v>
      </c>
      <c r="V1270" s="4" t="n">
        <v>535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자루형</t>
        </is>
      </c>
      <c r="AA1270" s="3" t="inlineStr">
        <is>
          <t>세로한면(가)</t>
        </is>
      </c>
    </row>
    <row r="1271">
      <c r="A1271" s="3" t="inlineStr">
        <is>
          <t>장군면 봉안리 316-2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35</v>
      </c>
      <c r="I1271" s="4" t="n">
        <v>24</v>
      </c>
      <c r="J1271" s="4" t="n">
        <v>7</v>
      </c>
      <c r="K1271" s="5" t="n">
        <v>5</v>
      </c>
      <c r="L1271" s="4" t="n">
        <v>22</v>
      </c>
      <c r="M1271" s="4" t="n">
        <v>7</v>
      </c>
      <c r="N1271" s="5" t="n">
        <v>5</v>
      </c>
      <c r="O1271" s="3" t="inlineStr">
        <is>
          <t>버스정류장 주변 큰길가 즉시입주가능 승강기 원룸</t>
        </is>
      </c>
      <c r="P1271" s="6">
        <f>HYPERLINK("https://fin.land.naver.com/articles/2655033733", "매물Link")</f>
        <v/>
      </c>
      <c r="Q1271" s="6">
        <f>HYPERLINK("https://map.naver.com/p/search/장군면 봉안리 316-2", "지도Link")</f>
        <v/>
      </c>
      <c r="R1271" s="6">
        <f>HYPERLINK("http://www.eum.go.kr/web/ar/lu/luLandDet.jsp?pnu=3611035024103160002&amp;isNoScr=script&amp;mode=search", "토지이음")</f>
        <v/>
      </c>
      <c r="S1271" s="3" t="inlineStr">
        <is>
          <t>이지</t>
        </is>
      </c>
      <c r="T1271" s="4" t="n">
        <v>1</v>
      </c>
      <c r="U1271" s="5" t="n">
        <v>309</v>
      </c>
      <c r="V1271" s="4" t="n">
        <v>535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자루형</t>
        </is>
      </c>
      <c r="AA1271" s="3" t="inlineStr">
        <is>
          <t>세로한면(가)</t>
        </is>
      </c>
    </row>
    <row r="1272">
      <c r="A1272" s="3" t="inlineStr">
        <is>
          <t>장군면 봉안리 317-3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45</v>
      </c>
      <c r="I1272" s="4" t="n">
        <v>33</v>
      </c>
      <c r="J1272" s="4" t="n">
        <v>10</v>
      </c>
      <c r="K1272" s="5" t="n">
        <v>4.5</v>
      </c>
      <c r="L1272" s="4" t="n">
        <v>30</v>
      </c>
      <c r="M1272" s="4" t="n">
        <v>9</v>
      </c>
      <c r="N1272" s="5" t="n">
        <v>5</v>
      </c>
      <c r="O1272" s="3" t="inlineStr">
        <is>
          <t>엘레베이터 있고 깔끔한 투베이 밝고 좋아요환기 잘됨</t>
        </is>
      </c>
      <c r="P1272" s="6">
        <f>HYPERLINK("https://fin.land.naver.com/articles/2654916196", "매물Link")</f>
        <v/>
      </c>
      <c r="Q1272" s="6">
        <f>HYPERLINK("https://map.naver.com/p/search/장군면 봉안리 317-3", "지도Link")</f>
        <v/>
      </c>
      <c r="R1272" s="6">
        <f>HYPERLINK("http://www.eum.go.kr/web/ar/lu/luLandDet.jsp?pnu=3611035024103170003&amp;isNoScr=script&amp;mode=search",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332.2</v>
      </c>
      <c r="V1272" s="4" t="n">
        <v>530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319-4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25</v>
      </c>
      <c r="J1273" s="4" t="n">
        <v>8</v>
      </c>
      <c r="K1273" s="5" t="n">
        <v>3.8</v>
      </c>
      <c r="L1273" s="4" t="n">
        <v>24</v>
      </c>
      <c r="M1273" s="4" t="n">
        <v>7</v>
      </c>
      <c r="N1273" s="5" t="n">
        <v>4.3</v>
      </c>
      <c r="O1273" s="3" t="inlineStr">
        <is>
          <t>청사 근접 큰원룸 딱 좋아,주변 맛집및 편의점인접 넘좋아요</t>
        </is>
      </c>
      <c r="P1273" s="6">
        <f>HYPERLINK("https://fin.land.naver.com/articles/2655093831", "매물Link")</f>
        <v/>
      </c>
      <c r="Q1273" s="6">
        <f>HYPERLINK("https://map.naver.com/p/search/장군면 봉안리 319-4", "지도Link")</f>
        <v/>
      </c>
      <c r="R1273" s="6">
        <f>HYPERLINK("http://www.eum.go.kr/web/ar/lu/luLandDet.jsp?pnu=3611035024103190004&amp;isNoScr=script&amp;mode=search", "토지이음")</f>
        <v/>
      </c>
      <c r="S1273" s="3" t="inlineStr">
        <is>
          <t>황제</t>
        </is>
      </c>
      <c r="T1273" s="4" t="n">
        <v>1</v>
      </c>
      <c r="U1273" s="5" t="n">
        <v>335.9</v>
      </c>
      <c r="V1273" s="4" t="n">
        <v>481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326-12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300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분리형 원룸 타운하우스   000</t>
        </is>
      </c>
      <c r="P1274" s="6">
        <f>HYPERLINK("https://fin.land.naver.com/articles/2654155980", "매물Link")</f>
        <v/>
      </c>
      <c r="Q1274" s="6">
        <f>HYPERLINK("https://map.naver.com/p/search/장군면 봉안리 326-12", "지도Link")</f>
        <v/>
      </c>
      <c r="R1274" s="6">
        <f>HYPERLINK("http://www.eum.go.kr/web/ar/lu/luLandDet.jsp?pnu=3611035024103260012&amp;isNoScr=script&amp;mode=search",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332.2</v>
      </c>
      <c r="V1274" s="4" t="n">
        <v>353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정방형</t>
        </is>
      </c>
      <c r="AA1274" s="3" t="inlineStr">
        <is>
          <t>세로한면(가)</t>
        </is>
      </c>
    </row>
    <row r="1275">
      <c r="A1275" s="3" t="inlineStr">
        <is>
          <t>장군면 봉안리 327-1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단독</t>
        </is>
      </c>
      <c r="F1275" s="3" t="inlineStr">
        <is>
          <t>전세</t>
        </is>
      </c>
      <c r="G1275" s="4" t="n">
        <v>7300</v>
      </c>
      <c r="H1275" s="4" t="n">
        <v>0</v>
      </c>
      <c r="I1275" s="4" t="n">
        <v>40</v>
      </c>
      <c r="J1275" s="4" t="n">
        <v>12</v>
      </c>
      <c r="K1275" s="5" t="n">
        <v>608.3</v>
      </c>
      <c r="L1275" s="4" t="n">
        <v>38</v>
      </c>
      <c r="M1275" s="4" t="n">
        <v>11</v>
      </c>
      <c r="N1275" s="5" t="n">
        <v>663.6</v>
      </c>
      <c r="O1275" s="3" t="inlineStr">
        <is>
          <t>새롬동,나성동10분 , 도로변, 깔끔 복층 투룸 전세</t>
        </is>
      </c>
      <c r="P1275" s="6">
        <f>HYPERLINK("https://fin.land.naver.com/articles/2655032709", "매물Link")</f>
        <v/>
      </c>
      <c r="Q1275" s="6">
        <f>HYPERLINK("https://map.naver.com/p/search/장군면 봉안리 327-1", "지도Link")</f>
        <v/>
      </c>
      <c r="R1275" s="6">
        <f>HYPERLINK("http://www.eum.go.kr/web/ar/lu/luLandDet.jsp?pnu=3611035024103270001&amp;isNoScr=script&amp;mode=search",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332.2</v>
      </c>
      <c r="V1275" s="4" t="n">
        <v>335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봉안리 327-1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20</v>
      </c>
      <c r="I1276" s="4" t="n">
        <v>40</v>
      </c>
      <c r="J1276" s="4" t="n">
        <v>12</v>
      </c>
      <c r="K1276" s="5" t="n">
        <v>1.7</v>
      </c>
      <c r="L1276" s="4" t="n">
        <v>38</v>
      </c>
      <c r="M1276" s="4" t="n">
        <v>11</v>
      </c>
      <c r="N1276" s="5" t="n">
        <v>1.8</v>
      </c>
      <c r="O1276" s="3" t="inlineStr">
        <is>
          <t>큰길가, 도로변,대중교통 이용 편리한 깔끔 복층 투룸 반전세</t>
        </is>
      </c>
      <c r="P1276" s="6">
        <f>HYPERLINK("https://fin.land.naver.com/articles/2654487856", "매물Link")</f>
        <v/>
      </c>
      <c r="Q1276" s="6">
        <f>HYPERLINK("https://map.naver.com/p/search/장군면 봉안리 327-1", "지도Link")</f>
        <v/>
      </c>
      <c r="R1276" s="6">
        <f>HYPERLINK("http://www.eum.go.kr/web/ar/lu/luLandDet.jsp?pnu=3611035024103270001&amp;isNoScr=script&amp;mode=search",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335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봉안리 327-6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31</v>
      </c>
      <c r="I1277" s="4" t="n">
        <v>24</v>
      </c>
      <c r="J1277" s="4" t="n">
        <v>7</v>
      </c>
      <c r="K1277" s="5" t="n">
        <v>4.4</v>
      </c>
      <c r="L1277" s="4" t="n">
        <v>20</v>
      </c>
      <c r="M1277" s="4" t="n">
        <v>6</v>
      </c>
      <c r="N1277" s="5" t="n">
        <v>5.2</v>
      </c>
      <c r="O1277" s="3" t="inlineStr">
        <is>
          <t>000 내국인 타운하우스,청사인접 00</t>
        </is>
      </c>
      <c r="P1277" s="6">
        <f>HYPERLINK("https://fin.land.naver.com/articles/2655074519", "매물Link")</f>
        <v/>
      </c>
      <c r="Q1277" s="6">
        <f>HYPERLINK("https://map.naver.com/p/search/장군면 봉안리 327-6", "지도Link")</f>
        <v/>
      </c>
      <c r="R1277" s="6">
        <f>HYPERLINK("http://www.eum.go.kr/web/ar/lu/luLandDet.jsp?pnu=3611035024103270006&amp;isNoScr=script&amp;mode=search",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332.2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봉안리 327-6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단기임대</t>
        </is>
      </c>
      <c r="G1278" s="4" t="n">
        <v>100</v>
      </c>
      <c r="H1278" s="4" t="n">
        <v>31</v>
      </c>
      <c r="I1278" s="4" t="n">
        <v>24</v>
      </c>
      <c r="J1278" s="4" t="n">
        <v>7</v>
      </c>
      <c r="K1278" s="5" t="n">
        <v>14.3</v>
      </c>
      <c r="L1278" s="4" t="n">
        <v>20</v>
      </c>
      <c r="M1278" s="4" t="n">
        <v>6</v>
      </c>
      <c r="N1278" s="5" t="n">
        <v>16.7</v>
      </c>
      <c r="O1278" s="3" t="inlineStr">
        <is>
          <t>000내국인 타운하우스,청사인접 00</t>
        </is>
      </c>
      <c r="P1278" s="6">
        <f>HYPERLINK("https://fin.land.naver.com/articles/2656410574", "매물Link")</f>
        <v/>
      </c>
      <c r="Q1278" s="6">
        <f>HYPERLINK("https://map.naver.com/p/search/장군면 봉안리 327-6", "지도Link")</f>
        <v/>
      </c>
      <c r="R1278" s="6">
        <f>HYPERLINK("http://www.eum.go.kr/web/ar/lu/luLandDet.jsp?pnu=3611035024103270006&amp;isNoScr=script&amp;mode=search",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332.2</v>
      </c>
      <c r="V1278" s="4" t="n">
        <v>362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봉안리 327-6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100</v>
      </c>
      <c r="H1279" s="4" t="n">
        <v>31</v>
      </c>
      <c r="I1279" s="4" t="n">
        <v>23</v>
      </c>
      <c r="J1279" s="4" t="n">
        <v>7</v>
      </c>
      <c r="K1279" s="5" t="n">
        <v>4.4</v>
      </c>
      <c r="L1279" s="4" t="n">
        <v>21</v>
      </c>
      <c r="M1279" s="4" t="n">
        <v>6</v>
      </c>
      <c r="N1279" s="5" t="n">
        <v>5.2</v>
      </c>
      <c r="O1279" s="3" t="inlineStr">
        <is>
          <t>깔끔하고 깨끗한방  햇빛잘드는방 남향세종청사 가까운 도생st 원룸</t>
        </is>
      </c>
      <c r="P1279" s="6">
        <f>HYPERLINK("https://fin.land.naver.com/articles/2655245300", "매물Link")</f>
        <v/>
      </c>
      <c r="Q1279" s="6">
        <f>HYPERLINK("https://map.naver.com/p/search/장군면 봉안리 327-6", "지도Link")</f>
        <v/>
      </c>
      <c r="R1279" s="6">
        <f>HYPERLINK("http://www.eum.go.kr/web/ar/lu/luLandDet.jsp?pnu=3611035024103270006&amp;isNoScr=script&amp;mode=search",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332.2</v>
      </c>
      <c r="V1279" s="4" t="n">
        <v>362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000내국인 타운하우스,청사인접 00</t>
        </is>
      </c>
      <c r="P1280" s="6">
        <f>HYPERLINK("https://fin.land.naver.com/articles/2656004239",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전세</t>
        </is>
      </c>
      <c r="G1281" s="4" t="n">
        <v>4000</v>
      </c>
      <c r="H1281" s="4" t="n">
        <v>0</v>
      </c>
      <c r="I1281" s="4" t="n">
        <v>24</v>
      </c>
      <c r="J1281" s="4" t="n">
        <v>7</v>
      </c>
      <c r="K1281" s="5" t="n">
        <v>571.4</v>
      </c>
      <c r="L1281" s="4" t="n">
        <v>20</v>
      </c>
      <c r="M1281" s="4" t="n">
        <v>6</v>
      </c>
      <c r="N1281" s="5" t="n">
        <v>666.7</v>
      </c>
      <c r="O1281" s="3" t="inlineStr">
        <is>
          <t>고운동5분,아름동10분, 버스정류장주변 책상 풀옵션 귀한원룸 전세</t>
        </is>
      </c>
      <c r="P1281" s="6">
        <f>HYPERLINK("https://fin.land.naver.com/articles/2655637447", "매물Link")</f>
        <v/>
      </c>
      <c r="Q1281" s="6">
        <f>HYPERLINK("https://map.naver.com/p/search/장군면 봉안리 327-7", "지도Link")</f>
        <v/>
      </c>
      <c r="R1281" s="6">
        <f>HYPERLINK("http://www.eum.go.kr/web/ar/lu/luLandDet.jsp?pnu=3611035024103270007&amp;isNoScr=script&amp;mode=search",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335.9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341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30</v>
      </c>
      <c r="I1282" s="4" t="n">
        <v>26</v>
      </c>
      <c r="J1282" s="4" t="n">
        <v>8</v>
      </c>
      <c r="K1282" s="5" t="n">
        <v>3.8</v>
      </c>
      <c r="L1282" s="4" t="n">
        <v>25</v>
      </c>
      <c r="M1282" s="4" t="n">
        <v>8</v>
      </c>
      <c r="N1282" s="5" t="n">
        <v>3.8</v>
      </c>
      <c r="O1282" s="3" t="inlineStr">
        <is>
          <t>버스정류장인접 방 크고 밝고 깔끔 풀옵션 살기좋은 대형원룸</t>
        </is>
      </c>
      <c r="P1282" s="6">
        <f>HYPERLINK("https://fin.land.naver.com/articles/2654354020", "매물Link")</f>
        <v/>
      </c>
      <c r="Q1282" s="6">
        <f>HYPERLINK("https://map.naver.com/p/search/장군면 봉안리 341", "지도Link")</f>
        <v/>
      </c>
      <c r="R1282" s="6">
        <f>HYPERLINK("http://www.eum.go.kr/web/ar/lu/luLandDet.jsp?pnu=3611035024103410000&amp;isNoScr=script&amp;mode=search",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312.3</v>
      </c>
      <c r="V1282" s="4" t="n">
        <v>553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세로한면(가)</t>
        </is>
      </c>
    </row>
    <row r="1283">
      <c r="A1283" s="3" t="inlineStr">
        <is>
          <t>장군면 봉안리 341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30</v>
      </c>
      <c r="I1283" s="4" t="n">
        <v>24</v>
      </c>
      <c r="J1283" s="4" t="n">
        <v>7</v>
      </c>
      <c r="K1283" s="5" t="n">
        <v>4.3</v>
      </c>
      <c r="L1283" s="4" t="n">
        <v>20</v>
      </c>
      <c r="M1283" s="4" t="n">
        <v>6</v>
      </c>
      <c r="N1283" s="5" t="n">
        <v>5</v>
      </c>
      <c r="O1283" s="3" t="inlineStr">
        <is>
          <t>000 버스 승강장 부근 ,주차좋은 원룸  000</t>
        </is>
      </c>
      <c r="P1283" s="6">
        <f>HYPERLINK("https://fin.land.naver.com/articles/2654493360", "매물Link")</f>
        <v/>
      </c>
      <c r="Q1283" s="6">
        <f>HYPERLINK("https://map.naver.com/p/search/장군면 봉안리 341", "지도Link")</f>
        <v/>
      </c>
      <c r="R1283" s="6">
        <f>HYPERLINK("http://www.eum.go.kr/web/ar/lu/luLandDet.jsp?pnu=3611035024103410000&amp;isNoScr=script&amp;mode=search",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312.3</v>
      </c>
      <c r="V1283" s="4" t="n">
        <v>553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세로한면(가)</t>
        </is>
      </c>
    </row>
    <row r="1284">
      <c r="A1284" s="3" t="inlineStr">
        <is>
          <t>장군면 봉안리 341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30</v>
      </c>
      <c r="I1284" s="4" t="n">
        <v>24</v>
      </c>
      <c r="J1284" s="4" t="n">
        <v>7</v>
      </c>
      <c r="K1284" s="5" t="n">
        <v>4.3</v>
      </c>
      <c r="L1284" s="4" t="n">
        <v>20</v>
      </c>
      <c r="M1284" s="4" t="n">
        <v>6</v>
      </c>
      <c r="N1284" s="5" t="n">
        <v>5</v>
      </c>
      <c r="O1284" s="3" t="inlineStr">
        <is>
          <t>000 버스 승강장 부근 ,주차좋은 원룸  000</t>
        </is>
      </c>
      <c r="P1284" s="6">
        <f>HYPERLINK("https://fin.land.naver.com/articles/2654096741", "매물Link")</f>
        <v/>
      </c>
      <c r="Q1284" s="6">
        <f>HYPERLINK("https://map.naver.com/p/search/장군면 봉안리 341", "지도Link")</f>
        <v/>
      </c>
      <c r="R1284" s="6">
        <f>HYPERLINK("http://www.eum.go.kr/web/ar/lu/luLandDet.jsp?pnu=3611035024103410000&amp;isNoScr=script&amp;mode=search",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312.3</v>
      </c>
      <c r="V1284" s="4" t="n">
        <v>553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세로한면(가)</t>
        </is>
      </c>
    </row>
    <row r="1285">
      <c r="A1285" s="3" t="inlineStr">
        <is>
          <t>장군면 봉안리 342-1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 앞 저렴이원룸 나성동 한솔동 10분거리 원룸</t>
        </is>
      </c>
      <c r="P1285" s="6">
        <f>HYPERLINK("https://fin.land.naver.com/articles/2655846350", "매물Link")</f>
        <v/>
      </c>
      <c r="Q1285" s="6">
        <f>HYPERLINK("https://map.naver.com/p/search/장군면 봉안리 342-1", "지도Link")</f>
        <v/>
      </c>
      <c r="R1285" s="6">
        <f>HYPERLINK("http://www.eum.go.kr/web/ar/lu/luLandDet.jsp?pnu=3611035024103420001&amp;isNoScr=script&amp;mode=search",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363.3</v>
      </c>
      <c r="V1285" s="4" t="n">
        <v>357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부정형</t>
        </is>
      </c>
      <c r="AA1285" s="3" t="inlineStr">
        <is>
          <t>소로한면</t>
        </is>
      </c>
    </row>
    <row r="1286">
      <c r="A1286" s="3" t="inlineStr">
        <is>
          <t>장군면 봉안리 342-1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28</v>
      </c>
      <c r="I1286" s="4" t="n">
        <v>24</v>
      </c>
      <c r="J1286" s="4" t="n">
        <v>7</v>
      </c>
      <c r="K1286" s="5" t="n">
        <v>4</v>
      </c>
      <c r="L1286" s="4" t="n">
        <v>20</v>
      </c>
      <c r="M1286" s="4" t="n">
        <v>6</v>
      </c>
      <c r="N1286" s="5" t="n">
        <v>4.7</v>
      </c>
      <c r="O1286" s="3" t="inlineStr">
        <is>
          <t>000 봉안리초입 도시가스 초저가,분리형 원룸 000</t>
        </is>
      </c>
      <c r="P1286" s="6">
        <f>HYPERLINK("https://fin.land.naver.com/articles/2653048561", "매물Link")</f>
        <v/>
      </c>
      <c r="Q1286" s="6">
        <f>HYPERLINK("https://map.naver.com/p/search/장군면 봉안리 342-1", "지도Link")</f>
        <v/>
      </c>
      <c r="R1286" s="6">
        <f>HYPERLINK("http://www.eum.go.kr/web/ar/lu/luLandDet.jsp?pnu=3611035024103420001&amp;isNoScr=script&amp;mode=search",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363.3</v>
      </c>
      <c r="V1286" s="4" t="n">
        <v>357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소로한면</t>
        </is>
      </c>
    </row>
    <row r="1287">
      <c r="A1287" s="3" t="inlineStr">
        <is>
          <t>장군면 봉안리 342-1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23</v>
      </c>
      <c r="J1287" s="4" t="n">
        <v>7</v>
      </c>
      <c r="K1287" s="5" t="n">
        <v>4.3</v>
      </c>
      <c r="L1287" s="4" t="n">
        <v>22</v>
      </c>
      <c r="M1287" s="4" t="n">
        <v>7</v>
      </c>
      <c r="N1287" s="5" t="n">
        <v>4.3</v>
      </c>
      <c r="O1287" s="3" t="inlineStr">
        <is>
          <t>버스 정류장 앞,주차 좋은 분리형 원룸 동남향이라 좋아요</t>
        </is>
      </c>
      <c r="P1287" s="6">
        <f>HYPERLINK("https://fin.land.naver.com/articles/2653110916", "매물Link")</f>
        <v/>
      </c>
      <c r="Q1287" s="6">
        <f>HYPERLINK("https://map.naver.com/p/search/장군면 봉안리 342-1", "지도Link")</f>
        <v/>
      </c>
      <c r="R1287" s="6">
        <f>HYPERLINK("http://www.eum.go.kr/web/ar/lu/luLandDet.jsp?pnu=3611035024103420001&amp;isNoScr=script&amp;mode=search", "토지이음")</f>
        <v/>
      </c>
      <c r="S1287" s="3" t="inlineStr">
        <is>
          <t>황제</t>
        </is>
      </c>
      <c r="T1287" s="4" t="n">
        <v>1</v>
      </c>
      <c r="U1287" s="5" t="n">
        <v>363.3</v>
      </c>
      <c r="V1287" s="4" t="n">
        <v>357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소로한면</t>
        </is>
      </c>
    </row>
    <row r="1288">
      <c r="A1288" s="3" t="inlineStr">
        <is>
          <t>장군면 봉안리 342-10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35</v>
      </c>
      <c r="I1288" s="4" t="n">
        <v>25</v>
      </c>
      <c r="J1288" s="4" t="n">
        <v>8</v>
      </c>
      <c r="K1288" s="5" t="n">
        <v>4.4</v>
      </c>
      <c r="L1288" s="4" t="n">
        <v>21</v>
      </c>
      <c r="M1288" s="4" t="n">
        <v>6</v>
      </c>
      <c r="N1288" s="5" t="n">
        <v>5.8</v>
      </c>
      <c r="O1288" s="3" t="inlineStr">
        <is>
          <t>000 대형 원룸  세종청사, 나성동 인접, 분리형  00</t>
        </is>
      </c>
      <c r="P1288" s="6">
        <f>HYPERLINK("https://fin.land.naver.com/articles/2655595668", "매물Link")</f>
        <v/>
      </c>
      <c r="Q1288" s="6">
        <f>HYPERLINK("https://map.naver.com/p/search/장군면 봉안리 342-10", "지도Link")</f>
        <v/>
      </c>
      <c r="R1288" s="6">
        <f>HYPERLINK("http://www.eum.go.kr/web/ar/lu/luLandDet.jsp?pnu=3611035024103420010&amp;isNoScr=script&amp;mode=search",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363.3</v>
      </c>
      <c r="V1288" s="4" t="n">
        <v>741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소로한면</t>
        </is>
      </c>
    </row>
    <row r="1289">
      <c r="A1289" s="3" t="inlineStr">
        <is>
          <t>장군면 봉안리 342-7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일반원룸</t>
        </is>
      </c>
      <c r="F1289" s="3" t="inlineStr">
        <is>
          <t>단기임대</t>
        </is>
      </c>
      <c r="G1289" s="4" t="n">
        <v>100</v>
      </c>
      <c r="H1289" s="4" t="n">
        <v>30</v>
      </c>
      <c r="I1289" s="4" t="n">
        <v>24</v>
      </c>
      <c r="J1289" s="4" t="n">
        <v>7</v>
      </c>
      <c r="K1289" s="5" t="n">
        <v>14.3</v>
      </c>
      <c r="L1289" s="4" t="n">
        <v>20</v>
      </c>
      <c r="M1289" s="4" t="n">
        <v>6</v>
      </c>
      <c r="N1289" s="5" t="n">
        <v>16.7</v>
      </c>
      <c r="O1289" s="3" t="inlineStr">
        <is>
          <t>000 단기가능 분리형 초저렴 00</t>
        </is>
      </c>
      <c r="P1289" s="6">
        <f>HYPERLINK("https://fin.land.naver.com/articles/2652517559", "매물Link")</f>
        <v/>
      </c>
      <c r="Q1289" s="6">
        <f>HYPERLINK("https://map.naver.com/p/search/장군면 봉안리 342-7", "지도Link")</f>
        <v/>
      </c>
      <c r="R1289" s="6">
        <f>HYPERLINK("http://www.eum.go.kr/web/ar/lu/luLandDet.jsp?pnu=3611035024103420007&amp;isNoScr=script&amp;mode=search",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354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단기임대</t>
        </is>
      </c>
      <c r="G1290" s="4" t="n">
        <v>100</v>
      </c>
      <c r="H1290" s="4" t="n">
        <v>30</v>
      </c>
      <c r="I1290" s="4" t="n">
        <v>24</v>
      </c>
      <c r="J1290" s="4" t="n">
        <v>7</v>
      </c>
      <c r="K1290" s="5" t="n">
        <v>14.3</v>
      </c>
      <c r="L1290" s="4" t="n">
        <v>20</v>
      </c>
      <c r="M1290" s="4" t="n">
        <v>6</v>
      </c>
      <c r="N1290" s="5" t="n">
        <v>16.7</v>
      </c>
      <c r="O1290" s="3" t="inlineStr">
        <is>
          <t>000 단기가능 봉안리 분리형 초저렴 도로변 버스승강장 앞 원룸00</t>
        </is>
      </c>
      <c r="P1290" s="6">
        <f>HYPERLINK("https://fin.land.naver.com/articles/2652520930", "매물Link")</f>
        <v/>
      </c>
      <c r="Q1290" s="6">
        <f>HYPERLINK("https://map.naver.com/p/search/장군면 봉안리 342-7", "지도Link")</f>
        <v/>
      </c>
      <c r="R1290" s="6">
        <f>HYPERLINK("http://www.eum.go.kr/web/ar/lu/luLandDet.jsp?pnu=3611035024103420007&amp;isNoScr=script&amp;mode=search",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390.7</v>
      </c>
      <c r="V1290" s="4" t="n">
        <v>354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HYPERLINK("https://fin.land.naver.com/articles/2653109183", "매물Link")</f>
        <v/>
      </c>
      <c r="Q1291" s="6">
        <f>HYPERLINK("https://map.naver.com/p/search/장군면 봉안리 342-7", "지도Link")</f>
        <v/>
      </c>
      <c r="R1291" s="6">
        <f>HYPERLINK("http://www.eum.go.kr/web/ar/lu/luLandDet.jsp?pnu=3611035024103420007&amp;isNoScr=script&amp;mode=search",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390.7</v>
      </c>
      <c r="V1291" s="4" t="n">
        <v>354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342-7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단기임대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14.3</v>
      </c>
      <c r="L1292" s="4" t="n">
        <v>20</v>
      </c>
      <c r="M1292" s="4" t="n">
        <v>6</v>
      </c>
      <c r="N1292" s="5" t="n">
        <v>16.7</v>
      </c>
      <c r="O1292" s="3" t="inlineStr">
        <is>
          <t>000 단기가능 봉안리 분리형 초저렴 도로변 버스승강장 앞 원룸00</t>
        </is>
      </c>
      <c r="P1292" s="6">
        <f>HYPERLINK("https://fin.land.naver.com/articles/2653157319", "매물Link")</f>
        <v/>
      </c>
      <c r="Q1292" s="6">
        <f>HYPERLINK("https://map.naver.com/p/search/장군면 봉안리 342-7", "지도Link")</f>
        <v/>
      </c>
      <c r="R1292" s="6">
        <f>HYPERLINK("http://www.eum.go.kr/web/ar/lu/luLandDet.jsp?pnu=3611035024103420007&amp;isNoScr=script&amp;mode=search",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390.7</v>
      </c>
      <c r="V1292" s="4" t="n">
        <v>354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소로한면</t>
        </is>
      </c>
    </row>
    <row r="1293">
      <c r="A1293" s="3" t="inlineStr">
        <is>
          <t>장군면 봉안리 342-8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3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83000</v>
      </c>
      <c r="H1293" s="4" t="n">
        <v>0</v>
      </c>
      <c r="I1293" s="4" t="n">
        <v>359</v>
      </c>
      <c r="J1293" s="4" t="n">
        <v>109</v>
      </c>
      <c r="K1293" s="5" t="n">
        <v>761.5</v>
      </c>
      <c r="L1293" s="4" t="n">
        <v>329</v>
      </c>
      <c r="M1293" s="4" t="n">
        <v>100</v>
      </c>
      <c r="N1293" s="5" t="n">
        <v>830</v>
      </c>
      <c r="O1293" s="3" t="inlineStr">
        <is>
          <t>000 버스 정류장 도로변 수익형 다가구 000</t>
        </is>
      </c>
      <c r="P1293" s="6">
        <f>HYPERLINK("https://fin.land.naver.com/articles/2653976220", "매물Link")</f>
        <v/>
      </c>
      <c r="Q1293" s="6">
        <f>HYPERLINK("https://map.naver.com/p/search/장군면 봉안리 342-8", "지도Link")</f>
        <v/>
      </c>
      <c r="R1293" s="6">
        <f>HYPERLINK("http://www.eum.go.kr/web/ar/lu/luLandDet.jsp?pnu=3611035024103420008&amp;isNoScr=script&amp;mode=search",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390.7</v>
      </c>
      <c r="V1293" s="4" t="n">
        <v>359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소로한면</t>
        </is>
      </c>
    </row>
    <row r="1294">
      <c r="A1294" s="3" t="inlineStr">
        <is>
          <t>장군면 봉안리 342-8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23</v>
      </c>
      <c r="J1294" s="4" t="n">
        <v>7</v>
      </c>
      <c r="K1294" s="5" t="n">
        <v>4.3</v>
      </c>
      <c r="L1294" s="4" t="n">
        <v>22</v>
      </c>
      <c r="M1294" s="4" t="n">
        <v>7</v>
      </c>
      <c r="N1294" s="5" t="n">
        <v>4.3</v>
      </c>
      <c r="O1294" s="3" t="inlineStr">
        <is>
          <t>버스 정류장앞 분리형 풀옵션원룸 세종청사,과기부 10분거리</t>
        </is>
      </c>
      <c r="P1294" s="6">
        <f>HYPERLINK("https://fin.land.naver.com/articles/2654356648", "매물Link")</f>
        <v/>
      </c>
      <c r="Q1294" s="6">
        <f>HYPERLINK("https://map.naver.com/p/search/장군면 봉안리 342-8", "지도Link")</f>
        <v/>
      </c>
      <c r="R1294" s="6">
        <f>HYPERLINK("http://www.eum.go.kr/web/ar/lu/luLandDet.jsp?pnu=3611035024103420008&amp;isNoScr=script&amp;mode=search",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390.7</v>
      </c>
      <c r="V1294" s="4" t="n">
        <v>359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326</v>
      </c>
      <c r="M1295" s="4" t="n">
        <v>99</v>
      </c>
      <c r="N1295" s="5" t="n">
        <v>838.4</v>
      </c>
      <c r="O1295" s="3" t="inlineStr">
        <is>
          <t>가성비 짱 몸만 들어오면되는방 소액으로 투자하기 좋은집, 수익률좋아요</t>
        </is>
      </c>
      <c r="P1295" s="6">
        <f>HYPERLINK("https://fin.land.naver.com/articles/2653777805",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377-13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월세</t>
        </is>
      </c>
      <c r="G1296" s="4" t="n">
        <v>300</v>
      </c>
      <c r="H1296" s="4" t="n">
        <v>65</v>
      </c>
      <c r="I1296" s="4" t="n">
        <v>42</v>
      </c>
      <c r="J1296" s="4" t="n">
        <v>13</v>
      </c>
      <c r="K1296" s="5" t="n">
        <v>5</v>
      </c>
      <c r="L1296" s="4" t="n">
        <v>38</v>
      </c>
      <c r="M1296" s="4" t="n">
        <v>11</v>
      </c>
      <c r="N1296" s="5" t="n">
        <v>5.9</v>
      </c>
      <c r="O1296" s="3" t="inlineStr">
        <is>
          <t>대출없음. 큰길가,버스정류장 주변,거실있는 투룸 월세</t>
        </is>
      </c>
      <c r="P1296" s="6">
        <f>HYPERLINK("https://fin.land.naver.com/articles/2656417527", "매물Link")</f>
        <v/>
      </c>
      <c r="Q1296" s="6">
        <f>HYPERLINK("https://map.naver.com/p/search/장군면 봉안리 377-13", "지도Link")</f>
        <v/>
      </c>
      <c r="R1296" s="6">
        <f>HYPERLINK("http://www.eum.go.kr/web/ar/lu/luLandDet.jsp?pnu=3611035024103770013&amp;isNoScr=script&amp;mode=search", "토지이음")</f>
        <v/>
      </c>
      <c r="S1296" s="3" t="inlineStr">
        <is>
          <t>이지</t>
        </is>
      </c>
      <c r="T1296" s="4" t="n">
        <v>1</v>
      </c>
      <c r="U1296" s="5" t="n">
        <v>540.5</v>
      </c>
      <c r="V1296" s="4" t="n">
        <v>672</v>
      </c>
      <c r="W1296" s="3" t="inlineStr">
        <is>
          <t>지정되지않음</t>
        </is>
      </c>
      <c r="X1296" s="3" t="inlineStr">
        <is>
          <t>상업용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봉안리 439-10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4.3</v>
      </c>
      <c r="L1297" s="4" t="n">
        <v>20</v>
      </c>
      <c r="M1297" s="4" t="n">
        <v>6</v>
      </c>
      <c r="N1297" s="5" t="n">
        <v>5</v>
      </c>
      <c r="O1297" s="3" t="inlineStr">
        <is>
          <t>nan</t>
        </is>
      </c>
      <c r="P1297" s="6">
        <f>HYPERLINK("https://fin.land.naver.com/articles/2653049577", "매물Link")</f>
        <v/>
      </c>
      <c r="Q1297" s="6">
        <f>HYPERLINK("https://map.naver.com/p/search/장군면 봉안리 439-10", "지도Link")</f>
        <v/>
      </c>
      <c r="R1297" s="6">
        <f>HYPERLINK("http://www.eum.go.kr/web/ar/lu/luLandDet.jsp?pnu=3611035024104390010&amp;isNoScr=script&amp;mode=search",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312.3</v>
      </c>
      <c r="V1297" s="4" t="n">
        <v>306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439-10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30</v>
      </c>
      <c r="I1298" s="4" t="n">
        <v>24</v>
      </c>
      <c r="J1298" s="4" t="n">
        <v>7</v>
      </c>
      <c r="K1298" s="5" t="n">
        <v>4.3</v>
      </c>
      <c r="L1298" s="4" t="n">
        <v>20</v>
      </c>
      <c r="M1298" s="4" t="n">
        <v>6</v>
      </c>
      <c r="N1298" s="5" t="n">
        <v>5</v>
      </c>
      <c r="O1298" s="3" t="inlineStr">
        <is>
          <t>000 봉안리 추천매물 승강장부근000</t>
        </is>
      </c>
      <c r="P1298" s="6">
        <f>HYPERLINK("https://fin.land.naver.com/articles/2652699994", "매물Link")</f>
        <v/>
      </c>
      <c r="Q1298" s="6">
        <f>HYPERLINK("https://map.naver.com/p/search/장군면 봉안리 439-10", "지도Link")</f>
        <v/>
      </c>
      <c r="R1298" s="6">
        <f>HYPERLINK("http://www.eum.go.kr/web/ar/lu/luLandDet.jsp?pnu=3611035024104390010&amp;isNoScr=script&amp;mode=search",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312.3</v>
      </c>
      <c r="V1298" s="4" t="n">
        <v>306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439-12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85000</v>
      </c>
      <c r="H1299" s="4" t="n">
        <v>0</v>
      </c>
      <c r="I1299" s="4" t="n">
        <v>306</v>
      </c>
      <c r="J1299" s="4" t="n">
        <v>93</v>
      </c>
      <c r="K1299" s="5" t="n">
        <v>914</v>
      </c>
      <c r="L1299" s="4" t="n">
        <v>301</v>
      </c>
      <c r="M1299" s="4" t="n">
        <v>91</v>
      </c>
      <c r="N1299" s="5" t="n">
        <v>934.1</v>
      </c>
      <c r="O1299" s="3" t="inlineStr">
        <is>
          <t>장군면 봉안리 도로변 다가구 주택</t>
        </is>
      </c>
      <c r="P1299" s="6">
        <f>HYPERLINK("https://fin.land.naver.com/articles/2651430775", "매물Link")</f>
        <v/>
      </c>
      <c r="Q1299" s="6">
        <f>HYPERLINK("https://map.naver.com/p/search/장군면 봉안리 439-12", "지도Link")</f>
        <v/>
      </c>
      <c r="R1299" s="6">
        <f>HYPERLINK("http://www.eum.go.kr/web/ar/lu/luLandDet.jsp?pnu=3611035024104390012&amp;isNoScr=script&amp;mode=search", "토지이음")</f>
        <v/>
      </c>
      <c r="S1299" s="3" t="inlineStr">
        <is>
          <t>세종천지</t>
        </is>
      </c>
      <c r="T1299" s="4" t="n">
        <v>1</v>
      </c>
      <c r="U1299" s="5" t="n">
        <v>363.3</v>
      </c>
      <c r="V1299" s="4" t="n">
        <v>306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소로한면</t>
        </is>
      </c>
    </row>
    <row r="1300">
      <c r="A1300" s="3" t="inlineStr">
        <is>
          <t>장군면 봉안리 439-8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전세</t>
        </is>
      </c>
      <c r="G1300" s="4" t="n">
        <v>5000</v>
      </c>
      <c r="H1300" s="4" t="n">
        <v>0</v>
      </c>
      <c r="I1300" s="4" t="n">
        <v>29</v>
      </c>
      <c r="J1300" s="4" t="n">
        <v>9</v>
      </c>
      <c r="K1300" s="5" t="n">
        <v>555.6</v>
      </c>
      <c r="L1300" s="4" t="n">
        <v>25</v>
      </c>
      <c r="M1300" s="4" t="n">
        <v>8</v>
      </c>
      <c r="N1300" s="5" t="n">
        <v>625</v>
      </c>
      <c r="O1300" s="3" t="inlineStr">
        <is>
          <t>세종시 장군면 풀옵션 원룸 전세</t>
        </is>
      </c>
      <c r="P1300" s="6">
        <f>HYPERLINK("https://fin.land.naver.com/articles/2653914191", "매물Link")</f>
        <v/>
      </c>
      <c r="Q1300" s="6">
        <f>HYPERLINK("https://map.naver.com/p/search/장군면 봉안리 439-8", "지도Link")</f>
        <v/>
      </c>
      <c r="R1300" s="6">
        <f>HYPERLINK("http://www.eum.go.kr/web/ar/lu/luLandDet.jsp?pnu=3611035024104390008&amp;isNoScr=script&amp;mode=search", "토지이음")</f>
        <v/>
      </c>
      <c r="S1300" s="3" t="inlineStr">
        <is>
          <t>황금</t>
        </is>
      </c>
      <c r="T1300" s="4" t="n">
        <v>1</v>
      </c>
      <c r="U1300" s="5" t="n">
        <v>399</v>
      </c>
      <c r="V1300" s="4" t="n">
        <v>755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평지</t>
        </is>
      </c>
      <c r="Z1300" s="3" t="inlineStr">
        <is>
          <t>세로장방</t>
        </is>
      </c>
      <c r="AA1300" s="3" t="inlineStr">
        <is>
          <t>소로각지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35</v>
      </c>
      <c r="I1301" s="4" t="n">
        <v>29</v>
      </c>
      <c r="J1301" s="4" t="n">
        <v>9</v>
      </c>
      <c r="K1301" s="5" t="n">
        <v>3.9</v>
      </c>
      <c r="L1301" s="4" t="n">
        <v>25</v>
      </c>
      <c r="M1301" s="4" t="n">
        <v>8</v>
      </c>
      <c r="N1301" s="5" t="n">
        <v>4.4</v>
      </c>
      <c r="O1301" s="3" t="inlineStr">
        <is>
          <t>세종시 장군면 넒은 원룸 풀옵션</t>
        </is>
      </c>
      <c r="P1301" s="6">
        <f>HYPERLINK("https://fin.land.naver.com/articles/2652737933",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451-10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99000</v>
      </c>
      <c r="H1302" s="4" t="n">
        <v>0</v>
      </c>
      <c r="I1302" s="4" t="n">
        <v>672</v>
      </c>
      <c r="J1302" s="4" t="n">
        <v>203</v>
      </c>
      <c r="K1302" s="5" t="n">
        <v>487.7</v>
      </c>
      <c r="L1302" s="4" t="n">
        <v>416</v>
      </c>
      <c r="M1302" s="4" t="n">
        <v>126</v>
      </c>
      <c r="N1302" s="5" t="n">
        <v>785.7</v>
      </c>
      <c r="O1302" s="3" t="inlineStr">
        <is>
          <t>급매 관리최상 조망최상 온수풀 별채방갈로 방3개 욕실3개 주차4대</t>
        </is>
      </c>
      <c r="P1302" s="6">
        <f>HYPERLINK("https://fin.land.naver.com/articles/2652439528", "매물Link")</f>
        <v/>
      </c>
      <c r="Q1302" s="6">
        <f>HYPERLINK("https://map.naver.com/p/search/장군면 봉안리 451-10", "지도Link")</f>
        <v/>
      </c>
      <c r="R1302" s="6">
        <f>HYPERLINK("http://www.eum.go.kr/web/ar/lu/luLandDet.jsp?pnu=3611035024104510010&amp;isNoScr=script&amp;mode=search", "토지이음")</f>
        <v/>
      </c>
      <c r="S1302" s="3" t="inlineStr">
        <is>
          <t>세종스타</t>
        </is>
      </c>
      <c r="T1302" s="4" t="n">
        <v>1</v>
      </c>
      <c r="U1302" s="5" t="n">
        <v>193.8</v>
      </c>
      <c r="V1302" s="4" t="n">
        <v>672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가로장방</t>
        </is>
      </c>
      <c r="AA1302" s="3" t="inlineStr">
        <is>
          <t>세로한면(가)</t>
        </is>
      </c>
    </row>
    <row r="1303">
      <c r="A1303" s="3" t="inlineStr">
        <is>
          <t>장군면 송문리 356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단독</t>
        </is>
      </c>
      <c r="F1303" s="3" t="inlineStr">
        <is>
          <t>매매</t>
        </is>
      </c>
      <c r="G1303" s="4" t="n">
        <v>32000</v>
      </c>
      <c r="H1303" s="4" t="n">
        <v>0</v>
      </c>
      <c r="I1303" s="4" t="n">
        <v>445</v>
      </c>
      <c r="J1303" s="4" t="n">
        <v>135</v>
      </c>
      <c r="K1303" s="5" t="n">
        <v>237</v>
      </c>
      <c r="L1303" s="4" t="n">
        <v>95</v>
      </c>
      <c r="M1303" s="4" t="n">
        <v>29</v>
      </c>
      <c r="N1303" s="5" t="n">
        <v>1103.4</v>
      </c>
      <c r="O1303" s="3" t="inlineStr">
        <is>
          <t>H해온H 급매, 세종시 장군면 조용한 전원생활 최적지, 차고, 텃밭,</t>
        </is>
      </c>
      <c r="P1303" s="6">
        <f>HYPERLINK("https://fin.land.naver.com/articles/2655494592", "매물Link")</f>
        <v/>
      </c>
      <c r="Q1303" s="6">
        <f>HYPERLINK("https://map.naver.com/p/search/장군면 송문리 356", "지도Link")</f>
        <v/>
      </c>
      <c r="R1303" s="6">
        <f>HYPERLINK("http://www.eum.go.kr/web/ar/lu/luLandDet.jsp?pnu=3611035029103560000&amp;isNoScr=script&amp;mode=search", "토지이음")</f>
        <v/>
      </c>
      <c r="S1303" s="3" t="inlineStr">
        <is>
          <t>세종해온</t>
        </is>
      </c>
      <c r="T1303" s="4" t="n">
        <v>2</v>
      </c>
      <c r="U1303" s="5" t="n">
        <v>74.3</v>
      </c>
      <c r="V1303" s="4" t="n">
        <v>445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송문리 40-1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63000</v>
      </c>
      <c r="H1304" s="4" t="n">
        <v>0</v>
      </c>
      <c r="I1304" s="4" t="n">
        <v>614</v>
      </c>
      <c r="J1304" s="4" t="n">
        <v>186</v>
      </c>
      <c r="K1304" s="5" t="n">
        <v>338.7</v>
      </c>
      <c r="L1304" s="4" t="n">
        <v>168</v>
      </c>
      <c r="M1304" s="4" t="n">
        <v>51</v>
      </c>
      <c r="N1304" s="5" t="n">
        <v>1235.3</v>
      </c>
      <c r="O1304" s="3" t="inlineStr">
        <is>
          <t>풍광이 뛰어난 자연속 신축 전원주택, 현재 팬션 운영중</t>
        </is>
      </c>
      <c r="P1304" s="6">
        <f>HYPERLINK("https://fin.land.naver.com/articles/2656103683", "매물Link")</f>
        <v/>
      </c>
      <c r="Q1304" s="6">
        <f>HYPERLINK("https://map.naver.com/p/search/장군면 송문리 40-1", "지도Link")</f>
        <v/>
      </c>
      <c r="R1304" s="6">
        <f>HYPERLINK("http://www.eum.go.kr/web/ar/lu/luLandDet.jsp?pnu=3611035029100400001&amp;isNoScr=script&amp;mode=search", "토지이음")</f>
        <v/>
      </c>
      <c r="S1304" s="3" t="inlineStr">
        <is>
          <t>온뜰</t>
        </is>
      </c>
      <c r="T1304" s="4" t="n">
        <v>1</v>
      </c>
      <c r="U1304" s="5" t="n">
        <v>82.3</v>
      </c>
      <c r="V1304" s="4" t="n">
        <v>554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시야가 뻥뚫렸음,조용하고 아늑한 그리고 시원함도 덤</t>
        </is>
      </c>
      <c r="P1305" s="6">
        <f>HYPERLINK("https://fin.land.naver.com/articles/2655175935",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세종공주제일</t>
        </is>
      </c>
      <c r="T1305" s="4" t="n">
        <v>2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1층현재커피숍운영중 세종시도심접근성굿 뛰어난조경 관리상태굿</t>
        </is>
      </c>
      <c r="P1306" s="6">
        <f>HYPERLINK("https://fin.land.naver.com/articles/2650937582",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고운동리치세종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송학리 440-12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61000</v>
      </c>
      <c r="H1307" s="4" t="n">
        <v>0</v>
      </c>
      <c r="I1307" s="4" t="n">
        <v>2203</v>
      </c>
      <c r="J1307" s="4" t="n">
        <v>666</v>
      </c>
      <c r="K1307" s="5" t="n">
        <v>91.59999999999999</v>
      </c>
      <c r="L1307" s="4" t="n">
        <v>126</v>
      </c>
      <c r="M1307" s="4" t="n">
        <v>38</v>
      </c>
      <c r="N1307" s="5" t="n">
        <v>1605.3</v>
      </c>
      <c r="O1307" s="3" t="inlineStr">
        <is>
          <t>nan</t>
        </is>
      </c>
      <c r="P1307" s="6">
        <f>HYPERLINK("https://fin.land.naver.com/articles/2650849712", "매물Link")</f>
        <v/>
      </c>
      <c r="Q1307" s="6">
        <f>HYPERLINK("https://map.naver.com/p/search/장군면 송학리 440-12", "지도Link")</f>
        <v/>
      </c>
      <c r="R1307" s="6">
        <f>HYPERLINK("http://www.eum.go.kr/web/ar/lu/luLandDet.jsp?pnu=3611035031104400012&amp;isNoScr=script&amp;mode=search", "토지이음")</f>
        <v/>
      </c>
      <c r="S1307" s="3" t="inlineStr">
        <is>
          <t>세종신한</t>
        </is>
      </c>
      <c r="T1307" s="4" t="n">
        <v>1</v>
      </c>
      <c r="U1307" s="5" t="n">
        <v>72.90000000000001</v>
      </c>
      <c r="V1307" s="4" t="n">
        <v>727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용암리 390-1</t>
        </is>
      </c>
      <c r="B1308" s="3" t="inlineStr">
        <is>
          <t>생산관리지역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39000</v>
      </c>
      <c r="H1308" s="4" t="n">
        <v>0</v>
      </c>
      <c r="I1308" s="4" t="n">
        <v>810</v>
      </c>
      <c r="J1308" s="4" t="n">
        <v>245</v>
      </c>
      <c r="K1308" s="5" t="n">
        <v>159.2</v>
      </c>
      <c r="L1308" s="4" t="n">
        <v>97</v>
      </c>
      <c r="M1308" s="4" t="n">
        <v>29</v>
      </c>
      <c r="N1308" s="5" t="n">
        <v>1344.8</v>
      </c>
      <c r="O1308" s="3" t="inlineStr">
        <is>
          <t>정남향 조용하고 쾌적한 단독 주택 매매</t>
        </is>
      </c>
      <c r="P1308" s="6">
        <f>HYPERLINK("https://fin.land.naver.com/articles/2651733837", "매물Link")</f>
        <v/>
      </c>
      <c r="Q1308" s="6">
        <f>HYPERLINK("https://map.naver.com/p/search/장군면 용암리 390-1", "지도Link")</f>
        <v/>
      </c>
      <c r="R1308" s="6">
        <f>HYPERLINK("http://www.eum.go.kr/web/ar/lu/luLandDet.jsp?pnu=3611035033103900001&amp;isNoScr=script&amp;mode=search", "토지이음")</f>
        <v/>
      </c>
      <c r="S1308" s="3" t="inlineStr">
        <is>
          <t>THE행복</t>
        </is>
      </c>
      <c r="T1308" s="4" t="n">
        <v>1</v>
      </c>
      <c r="U1308" s="5" t="n">
        <v>32.6</v>
      </c>
      <c r="V1308" s="4" t="n">
        <v>810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자루형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2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100</v>
      </c>
      <c r="H1311" s="4" t="n">
        <v>28</v>
      </c>
      <c r="I1311" s="4" t="n">
        <v>24</v>
      </c>
      <c r="J1311" s="4" t="n">
        <v>7</v>
      </c>
      <c r="K1311" s="5" t="n">
        <v>4</v>
      </c>
      <c r="L1311" s="4" t="n">
        <v>23</v>
      </c>
      <c r="M1311" s="4" t="n">
        <v>7</v>
      </c>
      <c r="N1311" s="5" t="n">
        <v>4</v>
      </c>
      <c r="O1311" s="3" t="inlineStr">
        <is>
          <t>저혐한원룸 풀옵션 원룸,고운동 새롬동 10분 거리, 깨끗한 원룸</t>
        </is>
      </c>
      <c r="P1311" s="6">
        <f>HYPERLINK("https://fin.land.naver.com/articles/2656325821",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황제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100</v>
      </c>
      <c r="H1312" s="4" t="n">
        <v>28</v>
      </c>
      <c r="I1312" s="4" t="n">
        <v>24</v>
      </c>
      <c r="J1312" s="4" t="n">
        <v>7</v>
      </c>
      <c r="K1312" s="5" t="n">
        <v>4</v>
      </c>
      <c r="L1312" s="4" t="n">
        <v>23</v>
      </c>
      <c r="M1312" s="4" t="n">
        <v>7</v>
      </c>
      <c r="N1312" s="5" t="n">
        <v>4</v>
      </c>
      <c r="O1312" s="3" t="inlineStr">
        <is>
          <t>저혐한원룸 풀옵션 원룸,고운동 새롬동 10분 거리, 깨끗한 원룸</t>
        </is>
      </c>
      <c r="P1312" s="6">
        <f>HYPERLINK("https://fin.land.naver.com/articles/2653868970",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66000</v>
      </c>
      <c r="H1313" s="4" t="n">
        <v>0</v>
      </c>
      <c r="I1313" s="4" t="n">
        <v>367</v>
      </c>
      <c r="J1313" s="4" t="n">
        <v>111</v>
      </c>
      <c r="K1313" s="5" t="n">
        <v>594.6</v>
      </c>
      <c r="L1313" s="4" t="n">
        <v>359</v>
      </c>
      <c r="M1313" s="4" t="n">
        <v>109</v>
      </c>
      <c r="N1313" s="5" t="n">
        <v>605.5</v>
      </c>
      <c r="O1313" s="3" t="inlineStr">
        <is>
          <t>정부청사 공주 15분거리</t>
        </is>
      </c>
      <c r="P1313" s="6">
        <f>HYPERLINK("https://fin.land.naver.com/articles/2654969790",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상상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생명나무,집보기0 장군면  수익형다가구 주택  공실 걱정 없는 매물입니다</t>
        </is>
      </c>
      <c r="P1314" s="6">
        <f>HYPERLINK("https://fin.land.naver.com/articles/2651988246",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생명나무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112-11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일반원룸</t>
        </is>
      </c>
      <c r="F1316" s="3" t="inlineStr">
        <is>
          <t>단기임대</t>
        </is>
      </c>
      <c r="G1316" s="4" t="n">
        <v>100</v>
      </c>
      <c r="H1316" s="4" t="n">
        <v>29</v>
      </c>
      <c r="I1316" s="4" t="n">
        <v>24</v>
      </c>
      <c r="J1316" s="4" t="n">
        <v>7</v>
      </c>
      <c r="K1316" s="5" t="n">
        <v>14.3</v>
      </c>
      <c r="L1316" s="4" t="n">
        <v>20</v>
      </c>
      <c r="M1316" s="4" t="n">
        <v>6</v>
      </c>
      <c r="N1316" s="5" t="n">
        <v>16.7</v>
      </c>
      <c r="O1316" s="3" t="inlineStr">
        <is>
          <t>000 청사,공주인접 엘리베이터가동 000</t>
        </is>
      </c>
      <c r="P1316" s="6">
        <f>HYPERLINK("https://fin.land.naver.com/articles/2652242778", "매물Link")</f>
        <v/>
      </c>
      <c r="Q1316" s="6">
        <f>HYPERLINK("https://map.naver.com/p/search/장군면 은용리 112-11", "지도Link")</f>
        <v/>
      </c>
      <c r="R1316" s="6">
        <f>HYPERLINK("http://www.eum.go.kr/web/ar/lu/luLandDet.jsp?pnu=3611035027101120011&amp;isNoScr=script&amp;mode=search",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422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112-11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단기임대</t>
        </is>
      </c>
      <c r="G1317" s="4" t="n">
        <v>100</v>
      </c>
      <c r="H1317" s="4" t="n">
        <v>29</v>
      </c>
      <c r="I1317" s="4" t="n">
        <v>24</v>
      </c>
      <c r="J1317" s="4" t="n">
        <v>7</v>
      </c>
      <c r="K1317" s="5" t="n">
        <v>14.3</v>
      </c>
      <c r="L1317" s="4" t="n">
        <v>20</v>
      </c>
      <c r="M1317" s="4" t="n">
        <v>6</v>
      </c>
      <c r="N1317" s="5" t="n">
        <v>16.7</v>
      </c>
      <c r="O1317" s="3" t="inlineStr">
        <is>
          <t>000 추천추천 엘리베이터있는 착한 월세  엘리베이터가동 000</t>
        </is>
      </c>
      <c r="P1317" s="6">
        <f>HYPERLINK("https://fin.land.naver.com/articles/2655817833", "매물Link")</f>
        <v/>
      </c>
      <c r="Q1317" s="6">
        <f>HYPERLINK("https://map.naver.com/p/search/장군면 은용리 112-11", "지도Link")</f>
        <v/>
      </c>
      <c r="R1317" s="6">
        <f>HYPERLINK("http://www.eum.go.kr/web/ar/lu/luLandDet.jsp?pnu=3611035027101120011&amp;isNoScr=script&amp;mode=search",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422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112-11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29</v>
      </c>
      <c r="I1318" s="4" t="n">
        <v>23</v>
      </c>
      <c r="J1318" s="4" t="n">
        <v>7</v>
      </c>
      <c r="K1318" s="5" t="n">
        <v>4.1</v>
      </c>
      <c r="L1318" s="4" t="n">
        <v>22</v>
      </c>
      <c r="M1318" s="4" t="n">
        <v>7</v>
      </c>
      <c r="N1318" s="5" t="n">
        <v>4.1</v>
      </c>
      <c r="O1318" s="3" t="inlineStr">
        <is>
          <t>승강기 있는 원룸 빌트인장, 방이  깔끔하고 너무 좋은원룸</t>
        </is>
      </c>
      <c r="P1318" s="6">
        <f>HYPERLINK("https://fin.land.naver.com/articles/2653559848", "매물Link")</f>
        <v/>
      </c>
      <c r="Q1318" s="6">
        <f>HYPERLINK("https://map.naver.com/p/search/장군면 은용리 112-11", "지도Link")</f>
        <v/>
      </c>
      <c r="R1318" s="6">
        <f>HYPERLINK("http://www.eum.go.kr/web/ar/lu/luLandDet.jsp?pnu=3611035027101120011&amp;isNoScr=script&amp;mode=search",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422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42</v>
      </c>
      <c r="I1319" s="4" t="n">
        <v>33</v>
      </c>
      <c r="J1319" s="4" t="n">
        <v>10</v>
      </c>
      <c r="K1319" s="5" t="n">
        <v>4.2</v>
      </c>
      <c r="L1319" s="4" t="n">
        <v>32</v>
      </c>
      <c r="M1319" s="4" t="n">
        <v>10</v>
      </c>
      <c r="N1319" s="5" t="n">
        <v>4.2</v>
      </c>
      <c r="O1319" s="3" t="inlineStr">
        <is>
          <t>방 하나 거실 하나  밝고 넓은1.5룸 주차 좋고 환기 짱</t>
        </is>
      </c>
      <c r="P1319" s="6">
        <f>HYPERLINK("https://fin.land.naver.com/articles/2653760670", "매물Link")</f>
        <v/>
      </c>
      <c r="Q1319" s="6">
        <f>HYPERLINK("https://map.naver.com/p/search/장군면 은용리 135", "지도Link")</f>
        <v/>
      </c>
      <c r="R1319" s="6">
        <f>HYPERLINK("http://www.eum.go.kr/web/ar/lu/luLandDet.jsp?pnu=3611035027101350000&amp;isNoScr=script&amp;mode=search",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409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42</v>
      </c>
      <c r="I1320" s="4" t="n">
        <v>27</v>
      </c>
      <c r="J1320" s="4" t="n">
        <v>8</v>
      </c>
      <c r="K1320" s="5" t="n">
        <v>5.2</v>
      </c>
      <c r="L1320" s="4" t="n">
        <v>25</v>
      </c>
      <c r="M1320" s="4" t="n">
        <v>8</v>
      </c>
      <c r="N1320" s="5" t="n">
        <v>5.2</v>
      </c>
      <c r="O1320" s="3" t="inlineStr">
        <is>
          <t>nan</t>
        </is>
      </c>
      <c r="P1320" s="6">
        <f>HYPERLINK("https://fin.land.naver.com/articles/2653886113", "매물Link")</f>
        <v/>
      </c>
      <c r="Q1320" s="6">
        <f>HYPERLINK("https://map.naver.com/p/search/장군면 은용리 135", "지도Link")</f>
        <v/>
      </c>
      <c r="R1320" s="6">
        <f>HYPERLINK("http://www.eum.go.kr/web/ar/lu/luLandDet.jsp?pnu=3611035027101350000&amp;isNoScr=script&amp;mode=search",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409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4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200</v>
      </c>
      <c r="H1321" s="4" t="n">
        <v>42</v>
      </c>
      <c r="I1321" s="4" t="n">
        <v>33</v>
      </c>
      <c r="J1321" s="4" t="n">
        <v>10</v>
      </c>
      <c r="K1321" s="5" t="n">
        <v>4.2</v>
      </c>
      <c r="L1321" s="4" t="n">
        <v>32</v>
      </c>
      <c r="M1321" s="4" t="n">
        <v>10</v>
      </c>
      <c r="N1321" s="5" t="n">
        <v>4.2</v>
      </c>
      <c r="O1321" s="3" t="inlineStr">
        <is>
          <t>방 하나 거실 하나  밝고 넓은1.5룸 주차 좋고 환기 짱</t>
        </is>
      </c>
      <c r="P1321" s="6">
        <f>HYPERLINK("https://fin.land.naver.com/articles/2654354662", "매물Link")</f>
        <v/>
      </c>
      <c r="Q1321" s="6">
        <f>HYPERLINK("https://map.naver.com/p/search/장군면 은용리 135", "지도Link")</f>
        <v/>
      </c>
      <c r="R1321" s="6">
        <f>HYPERLINK("http://www.eum.go.kr/web/ar/lu/luLandDet.jsp?pnu=3611035027101350000&amp;isNoScr=script&amp;mode=search",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409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다가구</t>
        </is>
      </c>
      <c r="F1322" s="3" t="inlineStr">
        <is>
          <t>매매</t>
        </is>
      </c>
      <c r="G1322" s="4" t="n">
        <v>90000</v>
      </c>
      <c r="H1322" s="4" t="n">
        <v>0</v>
      </c>
      <c r="I1322" s="4" t="n">
        <v>468</v>
      </c>
      <c r="J1322" s="4" t="n">
        <v>142</v>
      </c>
      <c r="K1322" s="5" t="n">
        <v>633.8</v>
      </c>
      <c r="L1322" s="4" t="n">
        <v>460</v>
      </c>
      <c r="M1322" s="4" t="n">
        <v>139</v>
      </c>
      <c r="N1322" s="5" t="n">
        <v>647.5</v>
      </c>
      <c r="O1322" s="3" t="inlineStr">
        <is>
          <t>급매, 세종시 투자 매물, 원룸18호실 공실없음</t>
        </is>
      </c>
      <c r="P1322" s="6">
        <f>HYPERLINK("https://fin.land.naver.com/articles/2656131616", "매물Link")</f>
        <v/>
      </c>
      <c r="Q1322" s="6">
        <f>HYPERLINK("https://map.naver.com/p/search/장군면 은용리 135-1", "지도Link")</f>
        <v/>
      </c>
      <c r="R1322" s="6">
        <f>HYPERLINK("http://www.eum.go.kr/web/ar/lu/luLandDet.jsp?pnu=3611035027101350001&amp;isNoScr=script&amp;mode=search", "토지이음")</f>
        <v/>
      </c>
      <c r="S1322" s="3" t="inlineStr">
        <is>
          <t>모두</t>
        </is>
      </c>
      <c r="T1322" s="4" t="n">
        <v>1</v>
      </c>
      <c r="U1322" s="5" t="n">
        <v>233.2</v>
      </c>
      <c r="V1322" s="4" t="n">
        <v>400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3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24</v>
      </c>
      <c r="J1323" s="4" t="n">
        <v>7</v>
      </c>
      <c r="K1323" s="5" t="n">
        <v>4.3</v>
      </c>
      <c r="L1323" s="4" t="n">
        <v>23</v>
      </c>
      <c r="M1323" s="4" t="n">
        <v>7</v>
      </c>
      <c r="N1323" s="5" t="n">
        <v>4.3</v>
      </c>
      <c r="O1323" s="3" t="inlineStr">
        <is>
          <t>내국인 전용, 주차좋고 조용하고 깨끗한 분리형 저렴한 원룸</t>
        </is>
      </c>
      <c r="P1323" s="6">
        <f>HYPERLINK("https://fin.land.naver.com/articles/2653094630", "매물Link")</f>
        <v/>
      </c>
      <c r="Q1323" s="6">
        <f>HYPERLINK("https://map.naver.com/p/search/장군면 은용리 135-4", "지도Link")</f>
        <v/>
      </c>
      <c r="R1323" s="6">
        <f>HYPERLINK("http://www.eum.go.kr/web/ar/lu/luLandDet.jsp?pnu=3611035027101350004&amp;isNoScr=script&amp;mode=search",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296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135-4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30</v>
      </c>
      <c r="I1324" s="4" t="n">
        <v>24</v>
      </c>
      <c r="J1324" s="4" t="n">
        <v>7</v>
      </c>
      <c r="K1324" s="5" t="n">
        <v>4.3</v>
      </c>
      <c r="L1324" s="4" t="n">
        <v>23</v>
      </c>
      <c r="M1324" s="4" t="n">
        <v>7</v>
      </c>
      <c r="N1324" s="5" t="n">
        <v>4.3</v>
      </c>
      <c r="O1324" s="3" t="inlineStr">
        <is>
          <t>공주,세종 가까운 원룸 편의점 인접 주차좋은 분리형원룸</t>
        </is>
      </c>
      <c r="P1324" s="6">
        <f>HYPERLINK("https://fin.land.naver.com/articles/2656324066", "매물Link")</f>
        <v/>
      </c>
      <c r="Q1324" s="6">
        <f>HYPERLINK("https://map.naver.com/p/search/장군면 은용리 135-4", "지도Link")</f>
        <v/>
      </c>
      <c r="R1324" s="6">
        <f>HYPERLINK("http://www.eum.go.kr/web/ar/lu/luLandDet.jsp?pnu=3611035027101350004&amp;isNoScr=script&amp;mode=search",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233.2</v>
      </c>
      <c r="V1324" s="4" t="n">
        <v>296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100</v>
      </c>
      <c r="H1325" s="4" t="n">
        <v>30</v>
      </c>
      <c r="I1325" s="4" t="n">
        <v>24</v>
      </c>
      <c r="J1325" s="4" t="n">
        <v>7</v>
      </c>
      <c r="K1325" s="5" t="n">
        <v>4.3</v>
      </c>
      <c r="L1325" s="4" t="n">
        <v>20</v>
      </c>
      <c r="M1325" s="4" t="n">
        <v>6</v>
      </c>
      <c r="N1325" s="5" t="n">
        <v>5</v>
      </c>
      <c r="O1325" s="3" t="inlineStr">
        <is>
          <t>000주차좋은 조용한 원룸  강추,세종청사인접월송지구10분 00</t>
        </is>
      </c>
      <c r="P1325" s="6">
        <f>HYPERLINK("https://fin.land.naver.com/articles/2656230949", "매물Link")</f>
        <v/>
      </c>
      <c r="Q1325" s="6">
        <f>HYPERLINK("https://map.naver.com/p/search/장군면 은용리 135-4", "지도Link")</f>
        <v/>
      </c>
      <c r="R1325" s="6">
        <f>HYPERLINK("http://www.eum.go.kr/web/ar/lu/luLandDet.jsp?pnu=3611035027101350004&amp;isNoScr=script&amp;mode=search",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233.2</v>
      </c>
      <c r="V1325" s="4" t="n">
        <v>296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135-4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3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100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000조용한 원룸  원하시는분 강추,세종청사인접월송지구10분 00</t>
        </is>
      </c>
      <c r="P1326" s="6">
        <f>HYPERLINK("https://fin.land.naver.com/articles/2656223432", "매물Link")</f>
        <v/>
      </c>
      <c r="Q1326" s="6">
        <f>HYPERLINK("https://map.naver.com/p/search/장군면 은용리 135-4", "지도Link")</f>
        <v/>
      </c>
      <c r="R1326" s="6">
        <f>HYPERLINK("http://www.eum.go.kr/web/ar/lu/luLandDet.jsp?pnu=3611035027101350004&amp;isNoScr=script&amp;mode=search",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233.2</v>
      </c>
      <c r="V1326" s="4" t="n">
        <v>296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태산리 59-1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42000</v>
      </c>
      <c r="H1327" s="4" t="n">
        <v>0</v>
      </c>
      <c r="I1327" s="4" t="n">
        <v>526</v>
      </c>
      <c r="J1327" s="4" t="n">
        <v>159</v>
      </c>
      <c r="K1327" s="5" t="n">
        <v>264.2</v>
      </c>
      <c r="L1327" s="4" t="n">
        <v>53</v>
      </c>
      <c r="M1327" s="4" t="n">
        <v>16</v>
      </c>
      <c r="N1327" s="5" t="n">
        <v>2625</v>
      </c>
      <c r="O1327" s="3" t="inlineStr">
        <is>
          <t>nan</t>
        </is>
      </c>
      <c r="P1327" s="6">
        <f>HYPERLINK("https://fin.land.naver.com/articles/2654113163", "매물Link")</f>
        <v/>
      </c>
      <c r="Q1327" s="6">
        <f>HYPERLINK("https://map.naver.com/p/search/장군면 태산리 59-1", "지도Link")</f>
        <v/>
      </c>
      <c r="R1327" s="6">
        <f>HYPERLINK("http://www.eum.go.kr/web/ar/lu/luLandDet.jsp?pnu=3611035034100590001&amp;isNoScr=script&amp;mode=search", "토지이음")</f>
        <v/>
      </c>
      <c r="S1327" s="3" t="inlineStr">
        <is>
          <t>세종한울</t>
        </is>
      </c>
      <c r="T1327" s="4" t="n">
        <v>1</v>
      </c>
      <c r="U1327" s="5" t="n">
        <v>34.1</v>
      </c>
      <c r="V1327" s="4" t="n">
        <v>526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평기리 169-5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52000</v>
      </c>
      <c r="H1328" s="4" t="n">
        <v>0</v>
      </c>
      <c r="I1328" s="4" t="n">
        <v>646</v>
      </c>
      <c r="J1328" s="4" t="n">
        <v>195</v>
      </c>
      <c r="K1328" s="5" t="n">
        <v>266.7</v>
      </c>
      <c r="L1328" s="4" t="n">
        <v>98</v>
      </c>
      <c r="M1328" s="4" t="n">
        <v>30</v>
      </c>
      <c r="N1328" s="5" t="n">
        <v>1733.3</v>
      </c>
      <c r="O1328" s="3" t="inlineStr">
        <is>
          <t>계획관리 자연취락지구, 싱크대 교체해주는 조건, 저온창고 있음</t>
        </is>
      </c>
      <c r="P1328" s="6">
        <f>HYPERLINK("https://fin.land.naver.com/articles/2656062849", "매물Link")</f>
        <v/>
      </c>
      <c r="Q1328" s="6">
        <f>HYPERLINK("https://map.naver.com/p/search/장군면 평기리 169-5", "지도Link")</f>
        <v/>
      </c>
      <c r="R1328" s="6">
        <f>HYPERLINK("http://www.eum.go.kr/web/ar/lu/luLandDet.jsp?pnu=3611035022101690005&amp;isNoScr=script&amp;mode=search", "토지이음")</f>
        <v/>
      </c>
      <c r="S1328" s="3" t="inlineStr">
        <is>
          <t>온뜰</t>
        </is>
      </c>
      <c r="T1328" s="4" t="n">
        <v>3</v>
      </c>
      <c r="U1328" s="5" t="n">
        <v>117.2</v>
      </c>
      <c r="V1328" s="4" t="n">
        <v>646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세로각지(가)</t>
        </is>
      </c>
    </row>
    <row r="1329">
      <c r="A1329" s="3" t="inlineStr">
        <is>
          <t>장군면 평기리 175-4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전원주택</t>
        </is>
      </c>
      <c r="F1329" s="3" t="inlineStr">
        <is>
          <t>매매</t>
        </is>
      </c>
      <c r="G1329" s="4" t="n">
        <v>52000</v>
      </c>
      <c r="H1329" s="4" t="n">
        <v>0</v>
      </c>
      <c r="I1329" s="4" t="n">
        <v>660</v>
      </c>
      <c r="J1329" s="4" t="n">
        <v>200</v>
      </c>
      <c r="K1329" s="5" t="n">
        <v>260</v>
      </c>
      <c r="L1329" s="4" t="n">
        <v>60</v>
      </c>
      <c r="M1329" s="4" t="n">
        <v>18</v>
      </c>
      <c r="N1329" s="5" t="n">
        <v>2888.9</v>
      </c>
      <c r="O1329" s="3" t="inlineStr">
        <is>
          <t>평기길 후면 시에서 관리하는 포장도로에 접한 자연취락지구 농가주택</t>
        </is>
      </c>
      <c r="P1329" s="6">
        <f>HYPERLINK("https://fin.land.naver.com/articles/2655656281", "매물Link")</f>
        <v/>
      </c>
      <c r="Q1329" s="6">
        <f>HYPERLINK("https://map.naver.com/p/search/장군면 평기리 175-4", "지도Link")</f>
        <v/>
      </c>
      <c r="R1329" s="6">
        <f>HYPERLINK("http://www.eum.go.kr/web/ar/lu/luLandDet.jsp?pnu=3611035022101750004&amp;isNoScr=script&amp;mode=search", "토지이음")</f>
        <v/>
      </c>
      <c r="S1329" s="3" t="inlineStr">
        <is>
          <t>온뜰</t>
        </is>
      </c>
      <c r="T1329" s="4" t="n">
        <v>1</v>
      </c>
      <c r="U1329" s="5" t="n">
        <v>114.9</v>
      </c>
      <c r="V1329" s="4" t="n">
        <v>660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세로장방</t>
        </is>
      </c>
      <c r="AA1329" s="3" t="inlineStr">
        <is>
          <t>세로한면(가)</t>
        </is>
      </c>
    </row>
    <row r="1330">
      <c r="A1330" s="3" t="inlineStr">
        <is>
          <t>장군면 평기리 229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단독</t>
        </is>
      </c>
      <c r="F1330" s="3" t="inlineStr">
        <is>
          <t>매매</t>
        </is>
      </c>
      <c r="G1330" s="4" t="n">
        <v>34000</v>
      </c>
      <c r="H1330" s="4" t="n">
        <v>0</v>
      </c>
      <c r="I1330" s="4" t="n">
        <v>298</v>
      </c>
      <c r="J1330" s="4" t="n">
        <v>90</v>
      </c>
      <c r="K1330" s="5" t="n">
        <v>377.8</v>
      </c>
      <c r="L1330" s="4" t="n">
        <v>49</v>
      </c>
      <c r="M1330" s="4" t="n">
        <v>15</v>
      </c>
      <c r="N1330" s="5" t="n">
        <v>2266.7</v>
      </c>
      <c r="O1330" s="3" t="inlineStr">
        <is>
          <t>리모델링완료,세종버스정류장도보 5분거리,앞뒤 넓은 정원 깨끗한 스몰하우스</t>
        </is>
      </c>
      <c r="P1330" s="6">
        <f>HYPERLINK("https://fin.land.naver.com/articles/2653031661", "매물Link")</f>
        <v/>
      </c>
      <c r="Q1330" s="6">
        <f>HYPERLINK("https://map.naver.com/p/search/장군면 평기리 229", "지도Link")</f>
        <v/>
      </c>
      <c r="R1330" s="6">
        <f>HYPERLINK("http://www.eum.go.kr/web/ar/lu/luLandDet.jsp?pnu=3611035022102290000&amp;isNoScr=script&amp;mode=search", "토지이음")</f>
        <v/>
      </c>
      <c r="S1330" s="3" t="inlineStr">
        <is>
          <t>짱</t>
        </is>
      </c>
      <c r="T1330" s="4" t="n">
        <v>1</v>
      </c>
      <c r="U1330" s="5" t="n">
        <v>106.9</v>
      </c>
      <c r="V1330" s="4" t="n">
        <v>298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296-32</t>
        </is>
      </c>
      <c r="B1332" s="3" t="inlineStr">
        <is>
          <t>보전관리지역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595</v>
      </c>
      <c r="J1332" s="4" t="n">
        <v>180</v>
      </c>
      <c r="K1332" s="5" t="n">
        <v>444.4</v>
      </c>
      <c r="L1332" s="4" t="n">
        <v>195</v>
      </c>
      <c r="M1332" s="4" t="n">
        <v>59</v>
      </c>
      <c r="N1332" s="5" t="n">
        <v>1355.9</v>
      </c>
      <c r="O1332" s="3" t="inlineStr">
        <is>
          <t>nan</t>
        </is>
      </c>
      <c r="P1332" s="6">
        <f>HYPERLINK("https://fin.land.naver.com/articles/2654051336", "매물Link")</f>
        <v/>
      </c>
      <c r="Q1332" s="6">
        <f>HYPERLINK("https://map.naver.com/p/search/장군면 하봉리 296-32", "지도Link")</f>
        <v/>
      </c>
      <c r="R1332" s="6">
        <f>HYPERLINK("http://www.eum.go.kr/web/ar/lu/luLandDet.jsp?pnu=3611035026102960032&amp;isNoScr=script&amp;mode=search", "토지이음")</f>
        <v/>
      </c>
      <c r="S1332" s="3" t="inlineStr">
        <is>
          <t>찬스</t>
        </is>
      </c>
      <c r="T1332" s="4" t="n">
        <v>1</v>
      </c>
      <c r="U1332" s="5" t="n">
        <v>79.09999999999999</v>
      </c>
      <c r="V1332" s="4" t="n">
        <v>595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하봉리 296-32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679</v>
      </c>
      <c r="J1333" s="4" t="n">
        <v>205</v>
      </c>
      <c r="K1333" s="5" t="n">
        <v>390.2</v>
      </c>
      <c r="L1333" s="4" t="n">
        <v>195</v>
      </c>
      <c r="M1333" s="4" t="n">
        <v>59</v>
      </c>
      <c r="N1333" s="5" t="n">
        <v>1355.9</v>
      </c>
      <c r="O1333" s="3" t="inlineStr">
        <is>
          <t>세종시 장군면 신축 전원주택 매매</t>
        </is>
      </c>
      <c r="P1333" s="6">
        <f>HYPERLINK("https://fin.land.naver.com/articles/2651713651", "매물Link")</f>
        <v/>
      </c>
      <c r="Q1333" s="6">
        <f>HYPERLINK("https://map.naver.com/p/search/장군면 하봉리 296-32", "지도Link")</f>
        <v/>
      </c>
      <c r="R1333" s="6">
        <f>HYPERLINK("http://www.eum.go.kr/web/ar/lu/luLandDet.jsp?pnu=3611035026102960032&amp;isNoScr=script&amp;mode=search", "토지이음")</f>
        <v/>
      </c>
      <c r="S1333" s="3" t="inlineStr">
        <is>
          <t>SK랜드</t>
        </is>
      </c>
      <c r="T1333" s="4" t="n">
        <v>1</v>
      </c>
      <c r="U1333" s="5" t="n">
        <v>79.09999999999999</v>
      </c>
      <c r="V1333" s="4" t="n">
        <v>595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하봉리 37-88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다가구</t>
        </is>
      </c>
      <c r="F1334" s="3" t="inlineStr">
        <is>
          <t>매매</t>
        </is>
      </c>
      <c r="G1334" s="4" t="n">
        <v>80000</v>
      </c>
      <c r="H1334" s="4" t="n">
        <v>0</v>
      </c>
      <c r="I1334" s="4" t="n">
        <v>416</v>
      </c>
      <c r="J1334" s="4" t="n">
        <v>126</v>
      </c>
      <c r="K1334" s="5" t="n">
        <v>634.9</v>
      </c>
      <c r="L1334" s="4" t="n">
        <v>371</v>
      </c>
      <c r="M1334" s="4" t="n">
        <v>112</v>
      </c>
      <c r="N1334" s="5" t="n">
        <v>714.3</v>
      </c>
      <c r="O1334" s="3" t="inlineStr">
        <is>
          <t>급매, 절충가능, 장군면에 위치한 수익률 높은 다가구 주택 급매물입니다</t>
        </is>
      </c>
      <c r="P1334" s="6">
        <f>HYPERLINK("https://fin.land.naver.com/articles/2650935152", "매물Link")</f>
        <v/>
      </c>
      <c r="Q1334" s="6">
        <f>HYPERLINK("https://map.naver.com/p/search/장군면 하봉리 37-88", "지도Link")</f>
        <v/>
      </c>
      <c r="R1334" s="6">
        <f>HYPERLINK("http://www.eum.go.kr/web/ar/lu/luLandDet.jsp?pnu=3611035026100370088&amp;isNoScr=script&amp;mode=search", "토지이음")</f>
        <v/>
      </c>
      <c r="S1334" s="3" t="inlineStr">
        <is>
          <t>스마일세종</t>
        </is>
      </c>
      <c r="T1334" s="4" t="n">
        <v>1</v>
      </c>
      <c r="U1334" s="5" t="n">
        <v>134.7</v>
      </c>
      <c r="V1334" s="4" t="n">
        <v>372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세로장방</t>
        </is>
      </c>
      <c r="AA1334" s="3" t="inlineStr">
        <is>
          <t>세로한면(가)</t>
        </is>
      </c>
    </row>
    <row r="1335">
      <c r="A1335" s="3" t="inlineStr">
        <is>
          <t>장군면 하봉리 51-22</t>
        </is>
      </c>
      <c r="B1335" s="3" t="inlineStr">
        <is>
          <t>계획관리지역</t>
        </is>
      </c>
      <c r="C1335" s="3" t="inlineStr">
        <is>
          <t>과수원</t>
        </is>
      </c>
      <c r="D1335" s="3" t="inlineStr">
        <is>
          <t>3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1000</v>
      </c>
      <c r="H1335" s="4" t="n">
        <v>54</v>
      </c>
      <c r="I1335" s="4" t="n">
        <v>45</v>
      </c>
      <c r="J1335" s="4" t="n">
        <v>14</v>
      </c>
      <c r="K1335" s="5" t="n">
        <v>3.9</v>
      </c>
      <c r="L1335" s="4" t="n">
        <v>40</v>
      </c>
      <c r="M1335" s="4" t="n">
        <v>12</v>
      </c>
      <c r="N1335" s="5" t="n">
        <v>4.5</v>
      </c>
      <c r="O1335" s="3" t="inlineStr">
        <is>
          <t>nan</t>
        </is>
      </c>
      <c r="P1335" s="6">
        <f>HYPERLINK("https://fin.land.naver.com/articles/2655931042", "매물Link")</f>
        <v/>
      </c>
      <c r="Q1335" s="6">
        <f>HYPERLINK("https://map.naver.com/p/search/장군면 하봉리 51-22", "지도Link")</f>
        <v/>
      </c>
      <c r="R1335" s="6">
        <f>HYPERLINK("http://www.eum.go.kr/web/ar/lu/luLandDet.jsp?pnu=3611035026100510022&amp;isNoScr=script&amp;mode=search",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225.3</v>
      </c>
      <c r="V1335" s="4" t="n">
        <v>445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219-6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1</t>
        </is>
      </c>
      <c r="E1336" s="3" t="inlineStr">
        <is>
          <t>전원주택</t>
        </is>
      </c>
      <c r="F1336" s="3" t="inlineStr">
        <is>
          <t>매매</t>
        </is>
      </c>
      <c r="G1336" s="4" t="n">
        <v>80000</v>
      </c>
      <c r="H1336" s="4" t="n">
        <v>0</v>
      </c>
      <c r="I1336" s="4" t="n">
        <v>6882</v>
      </c>
      <c r="J1336" s="4" t="n">
        <v>2082</v>
      </c>
      <c r="K1336" s="5" t="n">
        <v>38.4</v>
      </c>
      <c r="L1336" s="4" t="n">
        <v>99</v>
      </c>
      <c r="M1336" s="4" t="n">
        <v>30</v>
      </c>
      <c r="N1336" s="5" t="n">
        <v>2666.7</v>
      </c>
      <c r="O1336" s="3" t="inlineStr">
        <is>
          <t>nan</t>
        </is>
      </c>
      <c r="P1336" s="6">
        <f>HYPERLINK("https://fin.land.naver.com/articles/2655684887", "매물Link")</f>
        <v/>
      </c>
      <c r="Q1336" s="6">
        <f>HYPERLINK("https://map.naver.com/p/search/전동면 노장리 219-6", "지도Link")</f>
        <v/>
      </c>
      <c r="R1336" s="6">
        <f>HYPERLINK("http://www.eum.go.kr/web/ar/lu/luLandDet.jsp?pnu=3611038021102190006&amp;isNoScr=script&amp;mode=search", "토지이음")</f>
        <v/>
      </c>
      <c r="S1336" s="3" t="inlineStr">
        <is>
          <t>오송랜드</t>
        </is>
      </c>
      <c r="T1336" s="4" t="n">
        <v>1</v>
      </c>
      <c r="U1336" s="5" t="n">
        <v>28.9</v>
      </c>
      <c r="V1336" s="4" t="n">
        <v>560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세로한면(불)</t>
        </is>
      </c>
    </row>
    <row r="1337">
      <c r="A1337" s="3" t="inlineStr">
        <is>
          <t>전동면 노장리 499-9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20000</v>
      </c>
      <c r="H1337" s="4" t="n">
        <v>0</v>
      </c>
      <c r="I1337" s="4" t="n">
        <v>430</v>
      </c>
      <c r="J1337" s="4" t="n">
        <v>130</v>
      </c>
      <c r="K1337" s="5" t="n">
        <v>153.8</v>
      </c>
      <c r="L1337" s="4" t="n">
        <v>112</v>
      </c>
      <c r="M1337" s="4" t="n">
        <v>34</v>
      </c>
      <c r="N1337" s="5" t="n">
        <v>588.2</v>
      </c>
      <c r="O1337" s="3" t="inlineStr">
        <is>
          <t>주인분 거주중이라 입주는 협의 가능입니다. 단독주택입니다.</t>
        </is>
      </c>
      <c r="P1337" s="6">
        <f>HYPERLINK("https://fin.land.naver.com/articles/2652929602", "매물Link")</f>
        <v/>
      </c>
      <c r="Q1337" s="6">
        <f>HYPERLINK("https://map.naver.com/p/search/전동면 노장리 499-9", "지도Link")</f>
        <v/>
      </c>
      <c r="R1337" s="6">
        <f>HYPERLINK("http://www.eum.go.kr/web/ar/lu/luLandDet.jsp?pnu=3611038021104990009&amp;isNoScr=script&amp;mode=search", "토지이음")</f>
        <v/>
      </c>
      <c r="S1337" s="3" t="inlineStr">
        <is>
          <t>이순이</t>
        </is>
      </c>
      <c r="T1337" s="4" t="n">
        <v>1</v>
      </c>
      <c r="U1337" s="5" t="n">
        <v>61.5</v>
      </c>
      <c r="V1337" s="4" t="n">
        <v>430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소로한면</t>
        </is>
      </c>
    </row>
    <row r="1338">
      <c r="A1338" s="3" t="inlineStr">
        <is>
          <t>전동면 노장리 590-6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단독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133</v>
      </c>
      <c r="J1338" s="4" t="n">
        <v>40</v>
      </c>
      <c r="K1338" s="5" t="n">
        <v>300</v>
      </c>
      <c r="L1338" s="4" t="n">
        <v>38</v>
      </c>
      <c r="M1338" s="4" t="n">
        <v>11</v>
      </c>
      <c r="N1338" s="5" t="n">
        <v>1090.9</v>
      </c>
      <c r="O1338" s="3" t="inlineStr">
        <is>
          <t>임차인승계조건이고 계약종료후 아담한크기의 전원생확에 최적</t>
        </is>
      </c>
      <c r="P1338" s="6">
        <f>HYPERLINK("https://fin.land.naver.com/articles/2651969754", "매물Link")</f>
        <v/>
      </c>
      <c r="Q1338" s="6">
        <f>HYPERLINK("https://map.naver.com/p/search/전동면 노장리 590-6", "지도Link")</f>
        <v/>
      </c>
      <c r="R1338" s="6">
        <f>HYPERLINK("http://www.eum.go.kr/web/ar/lu/luLandDet.jsp?pnu=3611038021105900006&amp;isNoScr=script&amp;mode=search", "토지이음")</f>
        <v/>
      </c>
      <c r="S1338" s="3" t="inlineStr">
        <is>
          <t>만인</t>
        </is>
      </c>
      <c r="T1338" s="4" t="n">
        <v>1</v>
      </c>
      <c r="U1338" s="5" t="n">
        <v>84.09999999999999</v>
      </c>
      <c r="V1338" s="4" t="n">
        <v>133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노장리 608-11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3</t>
        </is>
      </c>
      <c r="E1339" s="3" t="inlineStr">
        <is>
          <t>상가주택</t>
        </is>
      </c>
      <c r="F1339" s="3" t="inlineStr">
        <is>
          <t>매매</t>
        </is>
      </c>
      <c r="G1339" s="4" t="n">
        <v>83000</v>
      </c>
      <c r="H1339" s="4" t="n">
        <v>0</v>
      </c>
      <c r="I1339" s="4" t="n">
        <v>467</v>
      </c>
      <c r="J1339" s="4" t="n">
        <v>141</v>
      </c>
      <c r="K1339" s="5" t="n">
        <v>588.7</v>
      </c>
      <c r="L1339" s="4" t="n">
        <v>731</v>
      </c>
      <c r="M1339" s="4" t="n">
        <v>221</v>
      </c>
      <c r="N1339" s="5" t="n">
        <v>375.6</v>
      </c>
      <c r="O1339" s="3" t="inlineStr">
        <is>
          <t>노장리 2차선 접한 3층 상가주택 저렴한 가격으로 투자추천.</t>
        </is>
      </c>
      <c r="P1339" s="6">
        <f>HYPERLINK("https://fin.land.naver.com/articles/2655914653", "매물Link")</f>
        <v/>
      </c>
      <c r="Q1339" s="6">
        <f>HYPERLINK("https://map.naver.com/p/search/전동면 노장리 608-11", "지도Link")</f>
        <v/>
      </c>
      <c r="R1339" s="6">
        <f>HYPERLINK("http://www.eum.go.kr/web/ar/lu/luLandDet.jsp?pnu=3611038021106080011&amp;isNoScr=script&amp;mode=search", "토지이음")</f>
        <v/>
      </c>
      <c r="S1339" s="3" t="inlineStr">
        <is>
          <t>세종대장</t>
        </is>
      </c>
      <c r="T1339" s="4" t="n">
        <v>1</v>
      </c>
      <c r="U1339" s="5" t="n">
        <v>179.9</v>
      </c>
      <c r="V1339" s="4" t="n">
        <v>433</v>
      </c>
      <c r="W1339" s="3" t="inlineStr">
        <is>
          <t>지정되지않음</t>
        </is>
      </c>
      <c r="X1339" s="3" t="inlineStr">
        <is>
          <t>주상용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중로한면</t>
        </is>
      </c>
    </row>
    <row r="1340">
      <c r="A1340" s="3" t="inlineStr">
        <is>
          <t>전동면 미곡리 20-10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29000</v>
      </c>
      <c r="H1340" s="4" t="n">
        <v>0</v>
      </c>
      <c r="I1340" s="4" t="n">
        <v>628</v>
      </c>
      <c r="J1340" s="4" t="n">
        <v>190</v>
      </c>
      <c r="K1340" s="5" t="n">
        <v>152.6</v>
      </c>
      <c r="L1340" s="4" t="n">
        <v>168</v>
      </c>
      <c r="M1340" s="4" t="n">
        <v>51</v>
      </c>
      <c r="N1340" s="5" t="n">
        <v>568.6</v>
      </c>
      <c r="O1340" s="3" t="inlineStr">
        <is>
          <t>세종시 전동면 전원주택 저렴하게 매매 합니다.</t>
        </is>
      </c>
      <c r="P1340" s="6">
        <f>HYPERLINK("https://fin.land.naver.com/articles/2654800101", "매물Link")</f>
        <v/>
      </c>
      <c r="Q1340" s="6">
        <f>HYPERLINK("https://map.naver.com/p/search/전동면 미곡리 20-10", "지도Link")</f>
        <v/>
      </c>
      <c r="R1340" s="6">
        <f>HYPERLINK("http://www.eum.go.kr/web/ar/lu/luLandDet.jsp?pnu=3611038029100200010&amp;isNoScr=script&amp;mode=search", "토지이음")</f>
        <v/>
      </c>
      <c r="S1340" s="3" t="inlineStr">
        <is>
          <t>성황</t>
        </is>
      </c>
      <c r="T1340" s="4" t="n">
        <v>1</v>
      </c>
      <c r="U1340" s="5" t="n">
        <v>31.8</v>
      </c>
      <c r="V1340" s="4" t="n">
        <v>628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미곡리 59</t>
        </is>
      </c>
      <c r="B1342" s="3" t="inlineStr">
        <is>
          <t>생산관리지역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50000</v>
      </c>
      <c r="H1342" s="4" t="n">
        <v>0</v>
      </c>
      <c r="I1342" s="4" t="n">
        <v>660</v>
      </c>
      <c r="J1342" s="4" t="n">
        <v>200</v>
      </c>
      <c r="K1342" s="5" t="n">
        <v>250</v>
      </c>
      <c r="L1342" s="4" t="n">
        <v>199</v>
      </c>
      <c r="M1342" s="4" t="n">
        <v>60</v>
      </c>
      <c r="N1342" s="5" t="n">
        <v>833.3</v>
      </c>
      <c r="O1342" s="3" t="inlineStr">
        <is>
          <t>공기좋은 계곡인접한 유럽식 목조 전원주택과 텃밭</t>
        </is>
      </c>
      <c r="P1342" s="6">
        <f>HYPERLINK("https://fin.land.naver.com/articles/2654424554", "매물Link")</f>
        <v/>
      </c>
      <c r="Q1342" s="6">
        <f>HYPERLINK("https://map.naver.com/p/search/전동면 미곡리 59", "지도Link")</f>
        <v/>
      </c>
      <c r="R1342" s="6">
        <f>HYPERLINK("http://www.eum.go.kr/web/ar/lu/luLandDet.jsp?pnu=3611038029100590000&amp;isNoScr=script&amp;mode=search", "토지이음")</f>
        <v/>
      </c>
      <c r="S1342" s="3" t="inlineStr">
        <is>
          <t>대한민국</t>
        </is>
      </c>
      <c r="T1342" s="4" t="n">
        <v>1</v>
      </c>
      <c r="U1342" s="5" t="n">
        <v>29.2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미곡리 59</t>
        </is>
      </c>
      <c r="B1343" s="3" t="inlineStr">
        <is>
          <t>생산관리지역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전원주택</t>
        </is>
      </c>
      <c r="F1343" s="3" t="inlineStr">
        <is>
          <t>매매</t>
        </is>
      </c>
      <c r="G1343" s="4" t="n">
        <v>50000</v>
      </c>
      <c r="H1343" s="4" t="n">
        <v>0</v>
      </c>
      <c r="I1343" s="4" t="n">
        <v>660</v>
      </c>
      <c r="J1343" s="4" t="n">
        <v>200</v>
      </c>
      <c r="K1343" s="5" t="n">
        <v>250</v>
      </c>
      <c r="L1343" s="4" t="n">
        <v>199</v>
      </c>
      <c r="M1343" s="4" t="n">
        <v>60</v>
      </c>
      <c r="N1343" s="5" t="n">
        <v>833.3</v>
      </c>
      <c r="O1343" s="3" t="inlineStr">
        <is>
          <t>공기좋은 계곡인접한 유럽식 목조 전원주택과 텃밭</t>
        </is>
      </c>
      <c r="P1343" s="6">
        <f>HYPERLINK("https://fin.land.naver.com/articles/2655708436", "매물Link")</f>
        <v/>
      </c>
      <c r="Q1343" s="6">
        <f>HYPERLINK("https://map.naver.com/p/search/전동면 미곡리 59", "지도Link")</f>
        <v/>
      </c>
      <c r="R1343" s="6">
        <f>HYPERLINK("http://www.eum.go.kr/web/ar/lu/luLandDet.jsp?pnu=3611038029100590000&amp;isNoScr=script&amp;mode=search", "토지이음")</f>
        <v/>
      </c>
      <c r="S1343" s="3" t="inlineStr">
        <is>
          <t>대한민국</t>
        </is>
      </c>
      <c r="T1343" s="4" t="n">
        <v>2</v>
      </c>
      <c r="U1343" s="5" t="n">
        <v>29.2</v>
      </c>
      <c r="V1343" s="4" t="n">
        <v>660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356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상가주택</t>
        </is>
      </c>
      <c r="F1346" s="3" t="inlineStr">
        <is>
          <t>매매</t>
        </is>
      </c>
      <c r="G1346" s="4" t="n">
        <v>85000</v>
      </c>
      <c r="H1346" s="4" t="n">
        <v>0</v>
      </c>
      <c r="I1346" s="4" t="n">
        <v>683</v>
      </c>
      <c r="J1346" s="4" t="n">
        <v>207</v>
      </c>
      <c r="K1346" s="5" t="n">
        <v>410.6</v>
      </c>
      <c r="L1346" s="4" t="n">
        <v>278</v>
      </c>
      <c r="M1346" s="4" t="n">
        <v>84</v>
      </c>
      <c r="N1346" s="5" t="n">
        <v>1011.9</v>
      </c>
      <c r="O1346" s="3" t="inlineStr">
        <is>
          <t>세종시 상가겸용 깔끔한 2층 주택 매매</t>
        </is>
      </c>
      <c r="P1346" s="6">
        <f>HYPERLINK("https://fin.land.naver.com/articles/2652146856", "매물Link")</f>
        <v/>
      </c>
      <c r="Q1346" s="6">
        <f>HYPERLINK("https://map.naver.com/p/search/전동면 심중리 356", "지도Link")</f>
        <v/>
      </c>
      <c r="R1346" s="6">
        <f>HYPERLINK("http://www.eum.go.kr/web/ar/lu/luLandDet.jsp?pnu=3611038031103560000&amp;isNoScr=script&amp;mode=search", "토지이음")</f>
        <v/>
      </c>
      <c r="S1346" s="3" t="inlineStr">
        <is>
          <t>푸른솔</t>
        </is>
      </c>
      <c r="T1346" s="4" t="n">
        <v>1</v>
      </c>
      <c r="U1346" s="5" t="n">
        <v>66.90000000000001</v>
      </c>
      <c r="V1346" s="4" t="n">
        <v>683</v>
      </c>
      <c r="W1346" s="3" t="inlineStr">
        <is>
          <t>지정되지않음</t>
        </is>
      </c>
      <c r="X1346" s="3" t="inlineStr">
        <is>
          <t>주거기타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청람리 247-1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55000</v>
      </c>
      <c r="H1347" s="4" t="n">
        <v>0</v>
      </c>
      <c r="I1347" s="4" t="n">
        <v>843</v>
      </c>
      <c r="J1347" s="4" t="n">
        <v>255</v>
      </c>
      <c r="K1347" s="5" t="n">
        <v>215.7</v>
      </c>
      <c r="L1347" s="4" t="n">
        <v>115</v>
      </c>
      <c r="M1347" s="4" t="n">
        <v>35</v>
      </c>
      <c r="N1347" s="5" t="n">
        <v>1571.4</v>
      </c>
      <c r="O1347" s="3" t="inlineStr">
        <is>
          <t>청람리 마을내 전원주택같은 마당넓은 단독주택매매</t>
        </is>
      </c>
      <c r="P1347" s="6">
        <f>HYPERLINK("https://fin.land.naver.com/articles/2655176771", "매물Link")</f>
        <v/>
      </c>
      <c r="Q1347" s="6">
        <f>HYPERLINK("https://map.naver.com/p/search/전동면 청람리 247-1", "지도Link")</f>
        <v/>
      </c>
      <c r="R1347" s="6">
        <f>HYPERLINK("http://www.eum.go.kr/web/ar/lu/luLandDet.jsp?pnu=3611038028102470001&amp;isNoScr=script&amp;mode=search", "토지이음")</f>
        <v/>
      </c>
      <c r="S1347" s="3" t="inlineStr">
        <is>
          <t>에이스</t>
        </is>
      </c>
      <c r="T1347" s="4" t="n">
        <v>1</v>
      </c>
      <c r="U1347" s="5" t="n">
        <v>35.9</v>
      </c>
      <c r="V1347" s="4" t="n">
        <v>843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전의면 관정리 262-6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0</t>
        </is>
      </c>
      <c r="E1348" s="3" t="inlineStr">
        <is>
          <t>빌라</t>
        </is>
      </c>
      <c r="F1348" s="3" t="inlineStr">
        <is>
          <t>매매</t>
        </is>
      </c>
      <c r="G1348" s="4" t="n">
        <v>12000</v>
      </c>
      <c r="H1348" s="4" t="n">
        <v>0</v>
      </c>
      <c r="I1348" s="4" t="n">
        <v>113</v>
      </c>
      <c r="J1348" s="4" t="n">
        <v>34</v>
      </c>
      <c r="K1348" s="5" t="n">
        <v>352.9</v>
      </c>
      <c r="L1348" s="4" t="n">
        <v>101</v>
      </c>
      <c r="M1348" s="4" t="n">
        <v>31</v>
      </c>
      <c r="N1348" s="5" t="n">
        <v>387.1</v>
      </c>
      <c r="O1348" s="3" t="inlineStr">
        <is>
          <t>협의입주가능,넓은 공간 가성비 좋은 매물,주인 거주 중으로 부분 수리 됨</t>
        </is>
      </c>
      <c r="P1348" s="6">
        <f>HYPERLINK("https://fin.land.naver.com/articles/2651659664", "매물Link")</f>
        <v/>
      </c>
      <c r="Q1348" s="6">
        <f>HYPERLINK("https://map.naver.com/p/search/전의면 관정리 262-6", "지도Link")</f>
        <v/>
      </c>
      <c r="R1348" s="6">
        <f>HYPERLINK("http://www.eum.go.kr/web/ar/lu/luLandDet.jsp?pnu=3611037027102620006&amp;isNoScr=script&amp;mode=search", "토지이음")</f>
        <v/>
      </c>
      <c r="S1348" s="3" t="inlineStr">
        <is>
          <t>유정희</t>
        </is>
      </c>
      <c r="T1348" s="4" t="n">
        <v>1</v>
      </c>
      <c r="U1348" s="5" t="n">
        <v>41.8</v>
      </c>
      <c r="V1348" s="4" t="n">
        <v>796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전의면 관정리 653-6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300</v>
      </c>
      <c r="H1349" s="4" t="n">
        <v>30</v>
      </c>
      <c r="I1349" s="4" t="n">
        <v>17</v>
      </c>
      <c r="J1349" s="4" t="n">
        <v>5</v>
      </c>
      <c r="K1349" s="5" t="n">
        <v>6</v>
      </c>
      <c r="L1349" s="4" t="n">
        <v>17</v>
      </c>
      <c r="M1349" s="4" t="n">
        <v>5</v>
      </c>
      <c r="N1349" s="5" t="n">
        <v>6</v>
      </c>
      <c r="O1349" s="3" t="inlineStr">
        <is>
          <t>nan</t>
        </is>
      </c>
      <c r="P1349" s="6">
        <f>HYPERLINK("https://fin.land.naver.com/articles/2656204672", "매물Link")</f>
        <v/>
      </c>
      <c r="Q1349" s="6">
        <f>HYPERLINK("https://map.naver.com/p/search/전의면 관정리 653-6", "지도Link")</f>
        <v/>
      </c>
      <c r="R1349" s="6">
        <f>HYPERLINK("http://www.eum.go.kr/web/ar/lu/luLandDet.jsp?pnu=3611037027106530006&amp;isNoScr=script&amp;mode=search", "토지이음")</f>
        <v/>
      </c>
      <c r="S1349" s="3" t="inlineStr">
        <is>
          <t>북세종</t>
        </is>
      </c>
      <c r="T1349" s="4" t="n">
        <v>1</v>
      </c>
      <c r="U1349" s="5" t="n">
        <v>92.90000000000001</v>
      </c>
      <c r="V1349" s="4" t="n">
        <v>425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다방리 173-14</t>
        </is>
      </c>
      <c r="B1350" s="3" t="inlineStr">
        <is>
          <t>생산관리지역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45000</v>
      </c>
      <c r="H1350" s="4" t="n">
        <v>0</v>
      </c>
      <c r="I1350" s="4" t="n">
        <v>601</v>
      </c>
      <c r="J1350" s="4" t="n">
        <v>182</v>
      </c>
      <c r="K1350" s="5" t="n">
        <v>247.3</v>
      </c>
      <c r="L1350" s="4" t="n">
        <v>84</v>
      </c>
      <c r="M1350" s="4" t="n">
        <v>25</v>
      </c>
      <c r="N1350" s="5" t="n">
        <v>1800</v>
      </c>
      <c r="O1350" s="3" t="inlineStr">
        <is>
          <t>급매,단독주택,방2개,태양열</t>
        </is>
      </c>
      <c r="P1350" s="6">
        <f>HYPERLINK("https://fin.land.naver.com/articles/2650952922", "매물Link")</f>
        <v/>
      </c>
      <c r="Q1350" s="6">
        <f>HYPERLINK("https://map.naver.com/p/search/전의면 다방리 173-14", "지도Link")</f>
        <v/>
      </c>
      <c r="R1350" s="6">
        <f>HYPERLINK("http://www.eum.go.kr/web/ar/lu/luLandDet.jsp?pnu=3611037035101730014&amp;isNoScr=script&amp;mode=search", "토지이음")</f>
        <v/>
      </c>
      <c r="S1350" s="3" t="inlineStr">
        <is>
          <t>다산</t>
        </is>
      </c>
      <c r="T1350" s="4" t="n">
        <v>1</v>
      </c>
      <c r="U1350" s="5" t="n">
        <v>23.8</v>
      </c>
      <c r="V1350" s="4" t="n">
        <v>601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173-2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21000</v>
      </c>
      <c r="H1351" s="4" t="n">
        <v>0</v>
      </c>
      <c r="I1351" s="4" t="n">
        <v>330</v>
      </c>
      <c r="J1351" s="4" t="n">
        <v>100</v>
      </c>
      <c r="K1351" s="5" t="n">
        <v>210</v>
      </c>
      <c r="L1351" s="4" t="n">
        <v>48</v>
      </c>
      <c r="M1351" s="4" t="n">
        <v>15</v>
      </c>
      <c r="N1351" s="5" t="n">
        <v>1400</v>
      </c>
      <c r="O1351" s="3" t="inlineStr">
        <is>
          <t>H해온H 비암사인근, 관리비 걱정없는 목조패시브하우스, 4중단열창,텃밭</t>
        </is>
      </c>
      <c r="P1351" s="6">
        <f>HYPERLINK("https://fin.land.naver.com/articles/2653104161", "매물Link")</f>
        <v/>
      </c>
      <c r="Q1351" s="6">
        <f>HYPERLINK("https://map.naver.com/p/search/전의면 다방리 173-2", "지도Link")</f>
        <v/>
      </c>
      <c r="R1351" s="6">
        <f>HYPERLINK("http://www.eum.go.kr/web/ar/lu/luLandDet.jsp?pnu=3611037035101730002&amp;isNoScr=script&amp;mode=search", "토지이음")</f>
        <v/>
      </c>
      <c r="S1351" s="3" t="inlineStr">
        <is>
          <t>세종해온</t>
        </is>
      </c>
      <c r="T1351" s="4" t="n">
        <v>1</v>
      </c>
      <c r="U1351" s="5" t="n">
        <v>23.8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동교리 123-5</t>
        </is>
      </c>
      <c r="B1352" s="3" t="inlineStr">
        <is>
          <t>자연녹지지역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매매</t>
        </is>
      </c>
      <c r="G1352" s="4" t="n">
        <v>32000</v>
      </c>
      <c r="H1352" s="4" t="n">
        <v>0</v>
      </c>
      <c r="I1352" s="4" t="n">
        <v>701</v>
      </c>
      <c r="J1352" s="4" t="n">
        <v>212</v>
      </c>
      <c r="K1352" s="5" t="n">
        <v>150.9</v>
      </c>
      <c r="L1352" s="4" t="n">
        <v>108</v>
      </c>
      <c r="M1352" s="4" t="n">
        <v>33</v>
      </c>
      <c r="N1352" s="5" t="n">
        <v>969.7</v>
      </c>
      <c r="O1352" s="3" t="inlineStr">
        <is>
          <t>세종시 전의면 주택</t>
        </is>
      </c>
      <c r="P1352" s="6">
        <f>HYPERLINK("https://fin.land.naver.com/articles/2653004166", "매물Link")</f>
        <v/>
      </c>
      <c r="Q1352" s="6">
        <f>HYPERLINK("https://map.naver.com/p/search/전의면 동교리 123-5", "지도Link")</f>
        <v/>
      </c>
      <c r="R1352" s="6">
        <f>HYPERLINK("http://www.eum.go.kr/web/ar/lu/luLandDet.jsp?pnu=3611037022101230005&amp;isNoScr=script&amp;mode=search", "토지이음")</f>
        <v/>
      </c>
      <c r="S1352" s="3" t="inlineStr">
        <is>
          <t>덕분</t>
        </is>
      </c>
      <c r="T1352" s="4" t="n">
        <v>1</v>
      </c>
      <c r="U1352" s="5" t="n">
        <v>85.7</v>
      </c>
      <c r="V1352" s="4" t="n">
        <v>701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전의면 신방리 396</t>
        </is>
      </c>
      <c r="B1353" s="3" t="inlineStr">
        <is>
          <t>농림지역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65000</v>
      </c>
      <c r="H1353" s="4" t="n">
        <v>0</v>
      </c>
      <c r="I1353" s="4" t="n">
        <v>660</v>
      </c>
      <c r="J1353" s="4" t="n">
        <v>200</v>
      </c>
      <c r="K1353" s="5" t="n">
        <v>325</v>
      </c>
      <c r="L1353" s="4" t="n">
        <v>99</v>
      </c>
      <c r="M1353" s="4" t="n">
        <v>30</v>
      </c>
      <c r="N1353" s="5" t="n">
        <v>2166.7</v>
      </c>
      <c r="O1353" s="3" t="inlineStr">
        <is>
          <t>블루베리와 소나무로 전경 좋은 단독주택 투자가치 굿</t>
        </is>
      </c>
      <c r="P1353" s="6">
        <f>HYPERLINK("https://fin.land.naver.com/articles/2654024547", "매물Link")</f>
        <v/>
      </c>
      <c r="Q1353" s="6">
        <f>HYPERLINK("https://map.naver.com/p/search/전의면 신방리 396", "지도Link")</f>
        <v/>
      </c>
      <c r="R1353" s="6">
        <f>HYPERLINK("http://www.eum.go.kr/web/ar/lu/luLandDet.jsp?pnu=3611037030103960000&amp;isNoScr=script&amp;mode=search", "토지이음")</f>
        <v/>
      </c>
      <c r="S1353" s="3" t="inlineStr">
        <is>
          <t>사랑  사무소</t>
        </is>
      </c>
      <c r="T1353" s="4" t="n">
        <v>1</v>
      </c>
      <c r="U1353" s="5" t="n">
        <v>28.5</v>
      </c>
      <c r="V1353" s="4" t="n">
        <v>660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전의면 신흥리 83-6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25000</v>
      </c>
      <c r="H1354" s="4" t="n">
        <v>0</v>
      </c>
      <c r="I1354" s="4" t="n">
        <v>330</v>
      </c>
      <c r="J1354" s="4" t="n">
        <v>100</v>
      </c>
      <c r="K1354" s="5" t="n">
        <v>250</v>
      </c>
      <c r="L1354" s="4" t="n">
        <v>99</v>
      </c>
      <c r="M1354" s="4" t="n">
        <v>30</v>
      </c>
      <c r="N1354" s="5" t="n">
        <v>833.3</v>
      </c>
      <c r="O1354" s="3" t="inlineStr">
        <is>
          <t>계획관리지역햇살가득한 단독주택 매매</t>
        </is>
      </c>
      <c r="P1354" s="6">
        <f>HYPERLINK("https://fin.land.naver.com/articles/2655944118", "매물Link")</f>
        <v/>
      </c>
      <c r="Q1354" s="6">
        <f>HYPERLINK("https://map.naver.com/p/search/전의면 신흥리 83-6", "지도Link")</f>
        <v/>
      </c>
      <c r="R1354" s="6">
        <f>HYPERLINK("http://www.eum.go.kr/web/ar/lu/luLandDet.jsp?pnu=3611037025100830006&amp;isNoScr=script&amp;mode=search", "토지이음")</f>
        <v/>
      </c>
      <c r="S1354" s="3" t="inlineStr">
        <is>
          <t>현담</t>
        </is>
      </c>
      <c r="T1354" s="4" t="n">
        <v>1</v>
      </c>
      <c r="U1354" s="5" t="n">
        <v>54.7</v>
      </c>
      <c r="V1354" s="4" t="n">
        <v>330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읍내리 105-1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20800</v>
      </c>
      <c r="H1356" s="4" t="n">
        <v>0</v>
      </c>
      <c r="I1356" s="4" t="n">
        <v>189</v>
      </c>
      <c r="J1356" s="4" t="n">
        <v>57</v>
      </c>
      <c r="K1356" s="5" t="n">
        <v>364.9</v>
      </c>
      <c r="L1356" s="4" t="n">
        <v>111</v>
      </c>
      <c r="M1356" s="4" t="n">
        <v>34</v>
      </c>
      <c r="N1356" s="5" t="n">
        <v>611.8</v>
      </c>
      <c r="O1356" s="3" t="inlineStr">
        <is>
          <t>nan</t>
        </is>
      </c>
      <c r="P1356" s="6">
        <f>HYPERLINK("https://fin.land.naver.com/articles/2653062908", "매물Link")</f>
        <v/>
      </c>
      <c r="Q1356" s="6">
        <f>HYPERLINK("https://map.naver.com/p/search/전의면 읍내리 105-1", "지도Link")</f>
        <v/>
      </c>
      <c r="R1356" s="6">
        <f>HYPERLINK("http://www.eum.go.kr/web/ar/lu/luLandDet.jsp?pnu=3611037021101050001&amp;isNoScr=script&amp;mode=search", "토지이음")</f>
        <v/>
      </c>
      <c r="S1356" s="3" t="inlineStr">
        <is>
          <t>코아루</t>
        </is>
      </c>
      <c r="T1356" s="4" t="n">
        <v>1</v>
      </c>
      <c r="U1356" s="5" t="n">
        <v>94</v>
      </c>
      <c r="V1356" s="4" t="n">
        <v>289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전의면 읍내리 207-3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45000</v>
      </c>
      <c r="H1357" s="4" t="n">
        <v>0</v>
      </c>
      <c r="I1357" s="4" t="n">
        <v>512</v>
      </c>
      <c r="J1357" s="4" t="n">
        <v>155</v>
      </c>
      <c r="K1357" s="5" t="n">
        <v>290.3</v>
      </c>
      <c r="L1357" s="4" t="n">
        <v>85</v>
      </c>
      <c r="M1357" s="4" t="n">
        <v>26</v>
      </c>
      <c r="N1357" s="5" t="n">
        <v>1730.8</v>
      </c>
      <c r="O1357" s="3" t="inlineStr">
        <is>
          <t>전의역 부근, 원룸부지로 추천합니다.</t>
        </is>
      </c>
      <c r="P1357" s="6">
        <f>HYPERLINK("https://fin.land.naver.com/articles/2656213086", "매물Link")</f>
        <v/>
      </c>
      <c r="Q1357" s="6">
        <f>HYPERLINK("https://map.naver.com/p/search/전의면 읍내리 207-3", "지도Link")</f>
        <v/>
      </c>
      <c r="R1357" s="6">
        <f>HYPERLINK("http://www.eum.go.kr/web/ar/lu/luLandDet.jsp?pnu=3611037021102070003&amp;isNoScr=script&amp;mode=search", "토지이음")</f>
        <v/>
      </c>
      <c r="S1357" s="3" t="inlineStr">
        <is>
          <t>으뜸</t>
        </is>
      </c>
      <c r="T1357" s="4" t="n">
        <v>1</v>
      </c>
      <c r="U1357" s="5" t="n">
        <v>139.1</v>
      </c>
      <c r="V1357" s="4" t="n">
        <v>241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소로한면</t>
        </is>
      </c>
    </row>
    <row r="1358">
      <c r="A1358" s="3" t="inlineStr">
        <is>
          <t>전의면 읍내리 63-2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130000</v>
      </c>
      <c r="H1358" s="4" t="n">
        <v>0</v>
      </c>
      <c r="I1358" s="4" t="n">
        <v>1021</v>
      </c>
      <c r="J1358" s="4" t="n">
        <v>309</v>
      </c>
      <c r="K1358" s="5" t="n">
        <v>420.7</v>
      </c>
      <c r="L1358" s="4" t="n">
        <v>81</v>
      </c>
      <c r="M1358" s="4" t="n">
        <v>25</v>
      </c>
      <c r="N1358" s="5" t="n">
        <v>5200</v>
      </c>
      <c r="O1358" s="3" t="inlineStr">
        <is>
          <t>전의역 도보10분 단독주택</t>
        </is>
      </c>
      <c r="P1358" s="6">
        <f>HYPERLINK("https://fin.land.naver.com/articles/2654806664", "매물Link")</f>
        <v/>
      </c>
      <c r="Q1358" s="6">
        <f>HYPERLINK("https://map.naver.com/p/search/전의면 읍내리 63-2", "지도Link")</f>
        <v/>
      </c>
      <c r="R1358" s="6">
        <f>HYPERLINK("http://www.eum.go.kr/web/ar/lu/luLandDet.jsp?pnu=3611037021100630002&amp;isNoScr=script&amp;mode=search", "토지이음")</f>
        <v/>
      </c>
      <c r="S1358" s="3" t="inlineStr">
        <is>
          <t>황금</t>
        </is>
      </c>
      <c r="T1358" s="4" t="n">
        <v>1</v>
      </c>
      <c r="U1358" s="5" t="n">
        <v>83.40000000000001</v>
      </c>
      <c r="V1358" s="4" t="n">
        <v>1021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읍내리 88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단독</t>
        </is>
      </c>
      <c r="F1359" s="3" t="inlineStr">
        <is>
          <t>매매</t>
        </is>
      </c>
      <c r="G1359" s="4" t="n">
        <v>35000</v>
      </c>
      <c r="H1359" s="4" t="n">
        <v>0</v>
      </c>
      <c r="I1359" s="4" t="n">
        <v>587</v>
      </c>
      <c r="J1359" s="4" t="n">
        <v>178</v>
      </c>
      <c r="K1359" s="5" t="n">
        <v>196.6</v>
      </c>
      <c r="L1359" s="4" t="n">
        <v>146</v>
      </c>
      <c r="M1359" s="4" t="n">
        <v>44</v>
      </c>
      <c r="N1359" s="5" t="n">
        <v>795.5</v>
      </c>
      <c r="O1359" s="3" t="inlineStr">
        <is>
          <t>nan</t>
        </is>
      </c>
      <c r="P1359" s="6">
        <f>HYPERLINK("https://fin.land.naver.com/articles/2651335953", "매물Link")</f>
        <v/>
      </c>
      <c r="Q1359" s="6">
        <f>HYPERLINK("https://map.naver.com/p/search/전의면 읍내리 88", "지도Link")</f>
        <v/>
      </c>
      <c r="R1359" s="6">
        <f>HYPERLINK("http://www.eum.go.kr/web/ar/lu/luLandDet.jsp?pnu=3611037021100880000&amp;isNoScr=script&amp;mode=search", "토지이음")</f>
        <v/>
      </c>
      <c r="S1359" s="3" t="inlineStr">
        <is>
          <t>세종큰길</t>
        </is>
      </c>
      <c r="T1359" s="4" t="n">
        <v>1</v>
      </c>
      <c r="U1359" s="5" t="n">
        <v>113.2</v>
      </c>
      <c r="V1359" s="4" t="n">
        <v>587.5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HYPERLINK("https://fin.land.naver.com/articles/2650985563",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16-11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30</v>
      </c>
      <c r="I1364" s="4" t="n">
        <v>0</v>
      </c>
      <c r="J1364" s="4" t="n">
        <v>0</v>
      </c>
      <c r="K1364" s="5" t="n">
        <v>0</v>
      </c>
      <c r="L1364" s="4" t="n">
        <v>23</v>
      </c>
      <c r="M1364" s="4" t="n">
        <v>7</v>
      </c>
      <c r="N1364" s="5" t="n">
        <v>4.3</v>
      </c>
      <c r="O1364" s="3" t="inlineStr">
        <is>
          <t>메가박스 뒷편 조치원역 도보거리</t>
        </is>
      </c>
      <c r="P1364" s="6">
        <f>HYPERLINK("https://fin.land.naver.com/articles/2652852845", "매물Link")</f>
        <v/>
      </c>
      <c r="Q1364" s="6">
        <f>HYPERLINK("https://map.naver.com/p/search/조치원읍 교리 16-11", "지도Link")</f>
        <v/>
      </c>
      <c r="R1364" s="6">
        <f>HYPERLINK("http://www.eum.go.kr/web/ar/lu/luLandDet.jsp?pnu=3611025024100160011&amp;isNoScr=script&amp;mode=search",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367.3</v>
      </c>
      <c r="V1364" s="4" t="n">
        <v>445</v>
      </c>
      <c r="W1364" s="3" t="inlineStr">
        <is>
          <t>지정되지않음</t>
        </is>
      </c>
      <c r="X1364" s="3" t="inlineStr">
        <is>
          <t>상업나지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소로각지</t>
        </is>
      </c>
    </row>
    <row r="1365">
      <c r="A1365" s="3" t="inlineStr">
        <is>
          <t>조치원읍 교리 18-13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25000</v>
      </c>
      <c r="H1365" s="4" t="n">
        <v>0</v>
      </c>
      <c r="I1365" s="4" t="n">
        <v>140</v>
      </c>
      <c r="J1365" s="4" t="n">
        <v>42</v>
      </c>
      <c r="K1365" s="5" t="n">
        <v>595.2</v>
      </c>
      <c r="L1365" s="4" t="n">
        <v>119</v>
      </c>
      <c r="M1365" s="4" t="n">
        <v>36</v>
      </c>
      <c r="N1365" s="5" t="n">
        <v>694.4</v>
      </c>
      <c r="O1365" s="3" t="inlineStr">
        <is>
          <t>행정복지센터 인근,2층 단독주택 매매</t>
        </is>
      </c>
      <c r="P1365" s="6">
        <f>HYPERLINK("https://fin.land.naver.com/articles/2654473669", "매물Link")</f>
        <v/>
      </c>
      <c r="Q1365" s="6">
        <f>HYPERLINK("https://map.naver.com/p/search/조치원읍 교리 18-13", "지도Link")</f>
        <v/>
      </c>
      <c r="R1365" s="6">
        <f>HYPERLINK("http://www.eum.go.kr/web/ar/lu/luLandDet.jsp?pnu=3611025024100180013&amp;isNoScr=script&amp;mode=search", "토지이음")</f>
        <v/>
      </c>
      <c r="S1365" s="3" t="inlineStr">
        <is>
          <t>이음 사무소</t>
        </is>
      </c>
      <c r="T1365" s="4" t="n">
        <v>1</v>
      </c>
      <c r="U1365" s="5" t="n">
        <v>229.1</v>
      </c>
      <c r="V1365" s="4" t="n">
        <v>140.8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소로한면</t>
        </is>
      </c>
    </row>
    <row r="1366">
      <c r="A1366" s="3" t="inlineStr">
        <is>
          <t>조치원읍 교리 18-19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3</t>
        </is>
      </c>
      <c r="E1366" s="3" t="inlineStr">
        <is>
          <t>일반원룸</t>
        </is>
      </c>
      <c r="F1366" s="3" t="inlineStr">
        <is>
          <t>전세</t>
        </is>
      </c>
      <c r="G1366" s="4" t="n">
        <v>7000</v>
      </c>
      <c r="H1366" s="4" t="n">
        <v>0</v>
      </c>
      <c r="I1366" s="4" t="n">
        <v>40</v>
      </c>
      <c r="J1366" s="4" t="n">
        <v>12</v>
      </c>
      <c r="K1366" s="5" t="n">
        <v>583.3</v>
      </c>
      <c r="L1366" s="4" t="n">
        <v>40</v>
      </c>
      <c r="M1366" s="4" t="n">
        <v>12</v>
      </c>
      <c r="N1366" s="5" t="n">
        <v>583.3</v>
      </c>
      <c r="O1366" s="3" t="inlineStr">
        <is>
          <t>2룸 조치원역 전통시장 도보가능 엘베유</t>
        </is>
      </c>
      <c r="P1366" s="6">
        <f>HYPERLINK("https://fin.land.naver.com/articles/2655164519", "매물Link")</f>
        <v/>
      </c>
      <c r="Q1366" s="6">
        <f>HYPERLINK("https://map.naver.com/p/search/조치원읍 교리 18-19", "지도Link")</f>
        <v/>
      </c>
      <c r="R1366" s="6">
        <f>HYPERLINK("http://www.eum.go.kr/web/ar/lu/luLandDet.jsp?pnu=3611025024100180019&amp;isNoScr=script&amp;mode=search", "토지이음")</f>
        <v/>
      </c>
      <c r="S1366" s="3" t="inlineStr">
        <is>
          <t>OK수</t>
        </is>
      </c>
      <c r="T1366" s="4" t="n">
        <v>1</v>
      </c>
      <c r="U1366" s="5" t="n">
        <v>283.3</v>
      </c>
      <c r="V1366" s="4" t="n">
        <v>378.9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2-2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60000</v>
      </c>
      <c r="H1367" s="4" t="n">
        <v>0</v>
      </c>
      <c r="I1367" s="4" t="n">
        <v>285</v>
      </c>
      <c r="J1367" s="4" t="n">
        <v>86</v>
      </c>
      <c r="K1367" s="5" t="n">
        <v>697.7</v>
      </c>
      <c r="L1367" s="4" t="n">
        <v>201</v>
      </c>
      <c r="M1367" s="4" t="n">
        <v>61</v>
      </c>
      <c r="N1367" s="5" t="n">
        <v>983.6</v>
      </c>
      <c r="O1367" s="3" t="inlineStr">
        <is>
          <t>문화정원 앞, 코너 2층단독주택, 옆동건축물로 월세수입 가능</t>
        </is>
      </c>
      <c r="P1367" s="6">
        <f>HYPERLINK("https://fin.land.naver.com/articles/2651076917", "매물Link")</f>
        <v/>
      </c>
      <c r="Q1367" s="6">
        <f>HYPERLINK("https://map.naver.com/p/search/조치원읍 교리 2-2", "지도Link")</f>
        <v/>
      </c>
      <c r="R1367" s="6">
        <f>HYPERLINK("http://www.eum.go.kr/web/ar/lu/luLandDet.jsp?pnu=3611025024100020002&amp;isNoScr=script&amp;mode=search", "토지이음")</f>
        <v/>
      </c>
      <c r="S1367" s="3" t="inlineStr">
        <is>
          <t>다옴</t>
        </is>
      </c>
      <c r="T1367" s="4" t="n">
        <v>1</v>
      </c>
      <c r="U1367" s="5" t="n">
        <v>302.8</v>
      </c>
      <c r="V1367" s="4" t="n">
        <v>285.6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소로각지</t>
        </is>
      </c>
    </row>
    <row r="1368">
      <c r="A1368" s="3" t="inlineStr">
        <is>
          <t>조치원읍 교리 2-27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월세</t>
        </is>
      </c>
      <c r="G1368" s="4" t="n">
        <v>100</v>
      </c>
      <c r="H1368" s="4" t="n">
        <v>25</v>
      </c>
      <c r="I1368" s="4" t="n">
        <v>23</v>
      </c>
      <c r="J1368" s="4" t="n">
        <v>7</v>
      </c>
      <c r="K1368" s="5" t="n">
        <v>3.6</v>
      </c>
      <c r="L1368" s="4" t="n">
        <v>23</v>
      </c>
      <c r="M1368" s="4" t="n">
        <v>7</v>
      </c>
      <c r="N1368" s="5" t="n">
        <v>3.6</v>
      </c>
      <c r="O1368" s="3" t="inlineStr">
        <is>
          <t>교동초 근처 저렴한 원룸 즉시입주가능합니다</t>
        </is>
      </c>
      <c r="P1368" s="6">
        <f>HYPERLINK("https://fin.land.naver.com/articles/2651708073", "매물Link")</f>
        <v/>
      </c>
      <c r="Q1368" s="6">
        <f>HYPERLINK("https://map.naver.com/p/search/조치원읍 교리 2-27", "지도Link")</f>
        <v/>
      </c>
      <c r="R1368" s="6">
        <f>HYPERLINK("http://www.eum.go.kr/web/ar/lu/luLandDet.jsp?pnu=3611025024100020027&amp;isNoScr=script&amp;mode=search",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199.8</v>
      </c>
      <c r="V1368" s="4" t="n">
        <v>330.6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정방형</t>
        </is>
      </c>
      <c r="AA1368" s="3" t="inlineStr">
        <is>
          <t>세로한면(가)</t>
        </is>
      </c>
    </row>
    <row r="1369">
      <c r="A1369" s="3" t="inlineStr">
        <is>
          <t>조치원읍 교리 20-10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상가주택</t>
        </is>
      </c>
      <c r="F1369" s="3" t="inlineStr">
        <is>
          <t>매매</t>
        </is>
      </c>
      <c r="G1369" s="4" t="n">
        <v>46000</v>
      </c>
      <c r="H1369" s="4" t="n">
        <v>0</v>
      </c>
      <c r="I1369" s="4" t="n">
        <v>168</v>
      </c>
      <c r="J1369" s="4" t="n">
        <v>51</v>
      </c>
      <c r="K1369" s="5" t="n">
        <v>902</v>
      </c>
      <c r="L1369" s="4" t="n">
        <v>197</v>
      </c>
      <c r="M1369" s="4" t="n">
        <v>60</v>
      </c>
      <c r="N1369" s="5" t="n">
        <v>766.7</v>
      </c>
      <c r="O1369" s="3" t="inlineStr">
        <is>
          <t>리모델링된 상가주택매매입니다.월세 수익 받으시면서 실거주해보세요.</t>
        </is>
      </c>
      <c r="P1369" s="6">
        <f>HYPERLINK("https://fin.land.naver.com/articles/2652491110", "매물Link")</f>
        <v/>
      </c>
      <c r="Q1369" s="6">
        <f>HYPERLINK("https://map.naver.com/p/search/조치원읍 교리 20-10", "지도Link")</f>
        <v/>
      </c>
      <c r="R1369" s="6">
        <f>HYPERLINK("http://www.eum.go.kr/web/ar/lu/luLandDet.jsp?pnu=3611025024100200010&amp;isNoScr=script&amp;mode=search", "토지이음")</f>
        <v/>
      </c>
      <c r="S1369" s="3" t="inlineStr">
        <is>
          <t>이음</t>
        </is>
      </c>
      <c r="T1369" s="4" t="n">
        <v>1</v>
      </c>
      <c r="U1369" s="5" t="n">
        <v>367.3</v>
      </c>
      <c r="V1369" s="4" t="n">
        <v>168.6</v>
      </c>
      <c r="W1369" s="3" t="inlineStr">
        <is>
          <t>지정되지않음</t>
        </is>
      </c>
      <c r="X1369" s="3" t="inlineStr">
        <is>
          <t>상업용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20-12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상가주택</t>
        </is>
      </c>
      <c r="F1370" s="3" t="inlineStr">
        <is>
          <t>월세</t>
        </is>
      </c>
      <c r="G1370" s="4" t="n">
        <v>1000</v>
      </c>
      <c r="H1370" s="4" t="n">
        <v>60</v>
      </c>
      <c r="I1370" s="4" t="n">
        <v>55</v>
      </c>
      <c r="J1370" s="4" t="n">
        <v>17</v>
      </c>
      <c r="K1370" s="5" t="n">
        <v>3.5</v>
      </c>
      <c r="L1370" s="4" t="n">
        <v>55</v>
      </c>
      <c r="M1370" s="4" t="n">
        <v>17</v>
      </c>
      <c r="N1370" s="5" t="n">
        <v>3.5</v>
      </c>
      <c r="O1370" s="3" t="inlineStr">
        <is>
          <t>조치원 중심가 위치,역 근처 상권 및 편의시설 이용 좋음.</t>
        </is>
      </c>
      <c r="P1370" s="6">
        <f>HYPERLINK("https://fin.land.naver.com/articles/2651984055", "매물Link")</f>
        <v/>
      </c>
      <c r="Q1370" s="6">
        <f>HYPERLINK("https://map.naver.com/p/search/조치원읍 교리 20-12", "지도Link")</f>
        <v/>
      </c>
      <c r="R1370" s="6">
        <f>HYPERLINK("http://www.eum.go.kr/web/ar/lu/luLandDet.jsp?pnu=3611025024100200012&amp;isNoScr=script&amp;mode=search", "토지이음")</f>
        <v/>
      </c>
      <c r="S1370" s="3" t="inlineStr">
        <is>
          <t>베스트매경</t>
        </is>
      </c>
      <c r="T1370" s="4" t="n">
        <v>1</v>
      </c>
      <c r="U1370" s="5" t="n">
        <v>352.7</v>
      </c>
      <c r="V1370" s="4" t="n">
        <v>138.8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소로한면</t>
        </is>
      </c>
    </row>
    <row r="1371">
      <c r="A1371" s="3" t="inlineStr">
        <is>
          <t>조치원읍 교리 23-9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단독</t>
        </is>
      </c>
      <c r="F1371" s="3" t="inlineStr">
        <is>
          <t>매매</t>
        </is>
      </c>
      <c r="G1371" s="4" t="n">
        <v>65000</v>
      </c>
      <c r="H1371" s="4" t="n">
        <v>0</v>
      </c>
      <c r="I1371" s="4" t="n">
        <v>192</v>
      </c>
      <c r="J1371" s="4" t="n">
        <v>58</v>
      </c>
      <c r="K1371" s="5" t="n">
        <v>1120.7</v>
      </c>
      <c r="L1371" s="4" t="n">
        <v>385</v>
      </c>
      <c r="M1371" s="4" t="n">
        <v>116</v>
      </c>
      <c r="N1371" s="5" t="n">
        <v>560.3</v>
      </c>
      <c r="O1371" s="3" t="inlineStr">
        <is>
          <t>메가박스 뒷편 용우동 상가건물 급매매</t>
        </is>
      </c>
      <c r="P1371" s="6">
        <f>HYPERLINK("https://fin.land.naver.com/articles/2654393581", "매물Link")</f>
        <v/>
      </c>
      <c r="Q1371" s="6">
        <f>HYPERLINK("https://map.naver.com/p/search/조치원읍 교리 23-9", "지도Link")</f>
        <v/>
      </c>
      <c r="R1371" s="6">
        <f>HYPERLINK("http://www.eum.go.kr/web/ar/lu/luLandDet.jsp?pnu=3611025024100230009&amp;isNoScr=script&amp;mode=search",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410.9</v>
      </c>
      <c r="V1371" s="4" t="n">
        <v>192.7</v>
      </c>
      <c r="W1371" s="3" t="inlineStr">
        <is>
          <t>지정되지않음</t>
        </is>
      </c>
      <c r="X1371" s="3" t="inlineStr">
        <is>
          <t>상업용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세로한면(가)</t>
        </is>
      </c>
    </row>
    <row r="1372">
      <c r="A1372" s="3" t="inlineStr">
        <is>
          <t>조치원읍 교리 25-8</t>
        </is>
      </c>
      <c r="B1372" s="3" t="inlineStr">
        <is>
          <t>준주거지역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상가주택</t>
        </is>
      </c>
      <c r="F1372" s="3" t="inlineStr">
        <is>
          <t>월세</t>
        </is>
      </c>
      <c r="G1372" s="4" t="n">
        <v>500</v>
      </c>
      <c r="H1372" s="4" t="n">
        <v>40</v>
      </c>
      <c r="I1372" s="4" t="n">
        <v>69</v>
      </c>
      <c r="J1372" s="4" t="n">
        <v>21</v>
      </c>
      <c r="K1372" s="5" t="n">
        <v>1.9</v>
      </c>
      <c r="L1372" s="4" t="n">
        <v>69</v>
      </c>
      <c r="M1372" s="4" t="n">
        <v>21</v>
      </c>
      <c r="N1372" s="5" t="n">
        <v>1.9</v>
      </c>
      <c r="O1372" s="3" t="inlineStr">
        <is>
          <t>쓰리룸.기숙사용도로 사용 하기 좋습니다.</t>
        </is>
      </c>
      <c r="P1372" s="6">
        <f>HYPERLINK("https://fin.land.naver.com/articles/2654473654", "매물Link")</f>
        <v/>
      </c>
      <c r="Q1372" s="6">
        <f>HYPERLINK("https://map.naver.com/p/search/조치원읍 교리 25-8", "지도Link")</f>
        <v/>
      </c>
      <c r="R1372" s="6">
        <f>HYPERLINK("http://www.eum.go.kr/web/ar/lu/luLandDet.jsp?pnu=3611025024100250008&amp;isNoScr=script&amp;mode=search",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723.3</v>
      </c>
      <c r="V1372" s="4" t="n">
        <v>125.4</v>
      </c>
      <c r="W1372" s="3" t="inlineStr">
        <is>
          <t>지정되지않음</t>
        </is>
      </c>
      <c r="X1372" s="3" t="inlineStr">
        <is>
          <t>상업용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중로한면</t>
        </is>
      </c>
    </row>
    <row r="1373">
      <c r="A1373" s="3" t="inlineStr">
        <is>
          <t>조치원읍 교리 3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연립</t>
        </is>
      </c>
      <c r="F1373" s="3" t="inlineStr">
        <is>
          <t>매매</t>
        </is>
      </c>
      <c r="G1373" s="4" t="n">
        <v>12000</v>
      </c>
      <c r="H1373" s="4" t="n">
        <v>0</v>
      </c>
      <c r="I1373" s="4" t="n">
        <v>56</v>
      </c>
      <c r="J1373" s="4" t="n">
        <v>17</v>
      </c>
      <c r="K1373" s="5" t="n">
        <v>705.9</v>
      </c>
      <c r="L1373" s="4" t="n">
        <v>51</v>
      </c>
      <c r="M1373" s="4" t="n">
        <v>15</v>
      </c>
      <c r="N1373" s="5" t="n">
        <v>800</v>
      </c>
      <c r="O1373" s="3" t="inlineStr">
        <is>
          <t>샷시까지 올 리모델링됨 협의입주 가능합니다</t>
        </is>
      </c>
      <c r="P1373" s="6">
        <f>HYPERLINK("https://fin.land.naver.com/articles/2656382508", "매물Link")</f>
        <v/>
      </c>
      <c r="Q1373" s="6">
        <f>HYPERLINK("https://map.naver.com/p/search/조치원읍 교리 3", "지도Link")</f>
        <v/>
      </c>
      <c r="R1373" s="6">
        <f>HYPERLINK("http://www.eum.go.kr/web/ar/lu/luLandDet.jsp?pnu=3611025024100030000&amp;isNoScr=script&amp;mode=search",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261.5</v>
      </c>
      <c r="V1373" s="4" t="n">
        <v>4586.5</v>
      </c>
      <c r="W1373" s="3" t="inlineStr">
        <is>
          <t>지정되지않음</t>
        </is>
      </c>
      <c r="X1373" s="3" t="inlineStr">
        <is>
          <t>연립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중로한면</t>
        </is>
      </c>
    </row>
    <row r="1374">
      <c r="A1374" s="3" t="inlineStr">
        <is>
          <t>조치원읍 교리 3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연립</t>
        </is>
      </c>
      <c r="F1374" s="3" t="inlineStr">
        <is>
          <t>매매</t>
        </is>
      </c>
      <c r="G1374" s="4" t="n">
        <v>10500</v>
      </c>
      <c r="H1374" s="4" t="n">
        <v>0</v>
      </c>
      <c r="I1374" s="4" t="n">
        <v>56</v>
      </c>
      <c r="J1374" s="4" t="n">
        <v>17</v>
      </c>
      <c r="K1374" s="5" t="n">
        <v>617.6</v>
      </c>
      <c r="L1374" s="4" t="n">
        <v>51</v>
      </c>
      <c r="M1374" s="4" t="n">
        <v>15</v>
      </c>
      <c r="N1374" s="5" t="n">
        <v>700</v>
      </c>
      <c r="O1374" s="3" t="inlineStr">
        <is>
          <t>샷시까지 올 리모델링됨 협의입주 가능합니다</t>
        </is>
      </c>
      <c r="P1374" s="6">
        <f>HYPERLINK("https://fin.land.naver.com/articles/2654339100", "매물Link")</f>
        <v/>
      </c>
      <c r="Q1374" s="6">
        <f>HYPERLINK("https://map.naver.com/p/search/조치원읍 교리 3", "지도Link")</f>
        <v/>
      </c>
      <c r="R1374" s="6">
        <f>HYPERLINK("http://www.eum.go.kr/web/ar/lu/luLandDet.jsp?pnu=3611025024100030000&amp;isNoScr=script&amp;mode=search",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261.5</v>
      </c>
      <c r="V1374" s="4" t="n">
        <v>4586.5</v>
      </c>
      <c r="W1374" s="3" t="inlineStr">
        <is>
          <t>지정되지않음</t>
        </is>
      </c>
      <c r="X1374" s="3" t="inlineStr">
        <is>
          <t>연립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중로한면</t>
        </is>
      </c>
    </row>
    <row r="1375">
      <c r="A1375" s="3" t="inlineStr">
        <is>
          <t>조치원읍 교리 4-13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0</v>
      </c>
      <c r="J1375" s="4" t="n">
        <v>0</v>
      </c>
      <c r="K1375" s="5" t="n">
        <v>0</v>
      </c>
      <c r="L1375" s="4" t="n">
        <v>23</v>
      </c>
      <c r="M1375" s="4" t="n">
        <v>7</v>
      </c>
      <c r="N1375" s="5" t="n">
        <v>4.3</v>
      </c>
      <c r="O1375" s="3" t="inlineStr">
        <is>
          <t>역세권 투베이</t>
        </is>
      </c>
      <c r="P1375" s="6">
        <f>HYPERLINK("https://fin.land.naver.com/articles/2652851166", "매물Link")</f>
        <v/>
      </c>
      <c r="Q1375" s="6">
        <f>HYPERLINK("https://map.naver.com/p/search/조치원읍 교리 4-13", "지도Link")</f>
        <v/>
      </c>
      <c r="R1375" s="6">
        <f>HYPERLINK("http://www.eum.go.kr/web/ar/lu/luLandDet.jsp?pnu=3611025024100040013&amp;isNoScr=script&amp;mode=search",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269.2</v>
      </c>
      <c r="V1375" s="4" t="n">
        <v>352.4</v>
      </c>
      <c r="W1375" s="3" t="inlineStr">
        <is>
          <t>지정되지않음</t>
        </is>
      </c>
      <c r="X1375" s="3" t="inlineStr">
        <is>
          <t>주거기타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중로각지</t>
        </is>
      </c>
    </row>
    <row r="1376">
      <c r="A1376" s="3" t="inlineStr">
        <is>
          <t>조치원읍 교리 7-15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6</t>
        </is>
      </c>
      <c r="E1376" s="3" t="inlineStr">
        <is>
          <t>다가구</t>
        </is>
      </c>
      <c r="F1376" s="3" t="inlineStr">
        <is>
          <t>매매</t>
        </is>
      </c>
      <c r="G1376" s="4" t="n">
        <v>49000</v>
      </c>
      <c r="H1376" s="4" t="n">
        <v>0</v>
      </c>
      <c r="I1376" s="4" t="n">
        <v>139</v>
      </c>
      <c r="J1376" s="4" t="n">
        <v>42</v>
      </c>
      <c r="K1376" s="5" t="n">
        <v>1166.7</v>
      </c>
      <c r="L1376" s="4" t="n">
        <v>341</v>
      </c>
      <c r="M1376" s="4" t="n">
        <v>103</v>
      </c>
      <c r="N1376" s="5" t="n">
        <v>475.7</v>
      </c>
      <c r="O1376" s="3" t="inlineStr">
        <is>
          <t>다가구건물 매매, 조율가능, 풀옵션 공실 없이 임차중</t>
        </is>
      </c>
      <c r="P1376" s="6">
        <f>HYPERLINK("https://fin.land.naver.com/articles/2656348434", "매물Link")</f>
        <v/>
      </c>
      <c r="Q1376" s="6">
        <f>HYPERLINK("https://map.naver.com/p/search/조치원읍 교리 7-15", "지도Link")</f>
        <v/>
      </c>
      <c r="R1376" s="6">
        <f>HYPERLINK("http://www.eum.go.kr/web/ar/lu/luLandDet.jsp?pnu=3611025024100070015&amp;isNoScr=script&amp;mode=search", "토지이음")</f>
        <v/>
      </c>
      <c r="S1376" s="3" t="inlineStr">
        <is>
          <t>세종무지개</t>
        </is>
      </c>
      <c r="T1376" s="4" t="n">
        <v>2</v>
      </c>
      <c r="U1376" s="5" t="n">
        <v>217.4</v>
      </c>
      <c r="V1376" s="4" t="n">
        <v>139.8</v>
      </c>
      <c r="W1376" s="3" t="inlineStr">
        <is>
          <t>지정되지않음</t>
        </is>
      </c>
      <c r="X1376" s="3" t="inlineStr">
        <is>
          <t>주거기타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소로한면</t>
        </is>
      </c>
    </row>
    <row r="1377">
      <c r="A1377" s="3" t="inlineStr">
        <is>
          <t>조치원읍 교리 7-15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6</t>
        </is>
      </c>
      <c r="E1377" s="3" t="inlineStr">
        <is>
          <t>단독</t>
        </is>
      </c>
      <c r="F1377" s="3" t="inlineStr">
        <is>
          <t>매매</t>
        </is>
      </c>
      <c r="G1377" s="4" t="n">
        <v>49000</v>
      </c>
      <c r="H1377" s="4" t="n">
        <v>0</v>
      </c>
      <c r="I1377" s="4" t="n">
        <v>139</v>
      </c>
      <c r="J1377" s="4" t="n">
        <v>42</v>
      </c>
      <c r="K1377" s="5" t="n">
        <v>1166.7</v>
      </c>
      <c r="L1377" s="4" t="n">
        <v>341</v>
      </c>
      <c r="M1377" s="4" t="n">
        <v>103</v>
      </c>
      <c r="N1377" s="5" t="n">
        <v>475.7</v>
      </c>
      <c r="O1377" s="3" t="inlineStr">
        <is>
          <t>6층 다가구 및 상가, 통건물, 공실없이 임대수익 중</t>
        </is>
      </c>
      <c r="P1377" s="6">
        <f>HYPERLINK("https://fin.land.naver.com/articles/2656443948", "매물Link")</f>
        <v/>
      </c>
      <c r="Q1377" s="6">
        <f>HYPERLINK("https://map.naver.com/p/search/조치원읍 교리 7-15", "지도Link")</f>
        <v/>
      </c>
      <c r="R1377" s="6">
        <f>HYPERLINK("http://www.eum.go.kr/web/ar/lu/luLandDet.jsp?pnu=3611025024100070015&amp;isNoScr=script&amp;mode=search", "토지이음")</f>
        <v/>
      </c>
      <c r="S1377" s="3" t="inlineStr">
        <is>
          <t>다옴</t>
        </is>
      </c>
      <c r="T1377" s="4" t="n">
        <v>1</v>
      </c>
      <c r="U1377" s="5" t="n">
        <v>217.4</v>
      </c>
      <c r="V1377" s="4" t="n">
        <v>139.8</v>
      </c>
      <c r="W1377" s="3" t="inlineStr">
        <is>
          <t>지정되지않음</t>
        </is>
      </c>
      <c r="X1377" s="3" t="inlineStr">
        <is>
          <t>주거기타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소로한면</t>
        </is>
      </c>
    </row>
    <row r="1378">
      <c r="A1378" s="3" t="inlineStr">
        <is>
          <t>조치원읍 남리 103-16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2</t>
        </is>
      </c>
      <c r="E1378" s="3" t="inlineStr">
        <is>
          <t>상가주택</t>
        </is>
      </c>
      <c r="F1378" s="3" t="inlineStr">
        <is>
          <t>매매</t>
        </is>
      </c>
      <c r="G1378" s="4" t="n">
        <v>29000</v>
      </c>
      <c r="H1378" s="4" t="n">
        <v>0</v>
      </c>
      <c r="I1378" s="4" t="n">
        <v>282</v>
      </c>
      <c r="J1378" s="4" t="n">
        <v>85</v>
      </c>
      <c r="K1378" s="5" t="n">
        <v>341.2</v>
      </c>
      <c r="L1378" s="4" t="n">
        <v>229</v>
      </c>
      <c r="M1378" s="4" t="n">
        <v>69</v>
      </c>
      <c r="N1378" s="5" t="n">
        <v>420.3</v>
      </c>
      <c r="O1378" s="3" t="inlineStr">
        <is>
          <t>1층 공장 , 2층 주택 , 도로변</t>
        </is>
      </c>
      <c r="P1378" s="6">
        <f>HYPERLINK("https://fin.land.naver.com/articles/2652084096", "매물Link")</f>
        <v/>
      </c>
      <c r="Q1378" s="6">
        <f>HYPERLINK("https://map.naver.com/p/search/조치원읍 남리 103-16", "지도Link")</f>
        <v/>
      </c>
      <c r="R1378" s="6">
        <f>HYPERLINK("http://www.eum.go.kr/web/ar/lu/luLandDet.jsp?pnu=3611025027101030016&amp;isNoScr=script&amp;mode=search", "토지이음")</f>
        <v/>
      </c>
      <c r="S1378" s="3" t="inlineStr">
        <is>
          <t>KB세종</t>
        </is>
      </c>
      <c r="T1378" s="4" t="n">
        <v>1</v>
      </c>
      <c r="U1378" s="5" t="n">
        <v>160.4</v>
      </c>
      <c r="V1378" s="4" t="n">
        <v>282</v>
      </c>
      <c r="W1378" s="3" t="inlineStr">
        <is>
          <t>지정되지않음</t>
        </is>
      </c>
      <c r="X1378" s="3" t="inlineStr">
        <is>
          <t>주거기타</t>
        </is>
      </c>
      <c r="Y1378" s="3" t="inlineStr">
        <is>
          <t>평지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조치원읍 남리 119-10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2</t>
        </is>
      </c>
      <c r="E1379" s="3" t="inlineStr">
        <is>
          <t>다가구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33</v>
      </c>
      <c r="J1379" s="4" t="n">
        <v>10</v>
      </c>
      <c r="K1379" s="5" t="n">
        <v>2.7</v>
      </c>
      <c r="L1379" s="4" t="n">
        <v>19</v>
      </c>
      <c r="M1379" s="4" t="n">
        <v>6</v>
      </c>
      <c r="N1379" s="5" t="n">
        <v>4.5</v>
      </c>
      <c r="O1379" s="3" t="inlineStr">
        <is>
          <t>조치원역도보거리O막힘없는O깨끗한 원룸</t>
        </is>
      </c>
      <c r="P1379" s="6">
        <f>HYPERLINK("https://fin.land.naver.com/articles/2651069139", "매물Link")</f>
        <v/>
      </c>
      <c r="Q1379" s="6">
        <f>HYPERLINK("https://map.naver.com/p/search/조치원읍 남리 119-10", "지도Link")</f>
        <v/>
      </c>
      <c r="R1379" s="6">
        <f>HYPERLINK("http://www.eum.go.kr/web/ar/lu/luLandDet.jsp?pnu=3611025027101190010&amp;isNoScr=script&amp;mode=search",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242.2</v>
      </c>
      <c r="V1379" s="4" t="n">
        <v>280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자루형</t>
        </is>
      </c>
      <c r="AA1379" s="3" t="inlineStr">
        <is>
          <t>세로한면(가)</t>
        </is>
      </c>
    </row>
    <row r="1380">
      <c r="A1380" s="3" t="inlineStr">
        <is>
          <t>조치원읍 남리 119-12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200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남향 조치원시내권도보거리 주차시설완비 완벽풀옵션</t>
        </is>
      </c>
      <c r="P1380" s="6">
        <f>HYPERLINK("https://fin.land.naver.com/articles/2652366588", "매물Link")</f>
        <v/>
      </c>
      <c r="Q1380" s="6">
        <f>HYPERLINK("https://map.naver.com/p/search/조치원읍 남리 119-12", "지도Link")</f>
        <v/>
      </c>
      <c r="R1380" s="6">
        <f>HYPERLINK("http://www.eum.go.kr/web/ar/lu/luLandDet.jsp?pnu=3611025027101190012&amp;isNoScr=script&amp;mode=search",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282.8</v>
      </c>
      <c r="V1380" s="4" t="n">
        <v>485</v>
      </c>
      <c r="W1380" s="3" t="inlineStr">
        <is>
          <t>지정되지않음</t>
        </is>
      </c>
      <c r="X1380" s="3" t="inlineStr">
        <is>
          <t>상업기타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119-12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20</v>
      </c>
      <c r="J1381" s="4" t="n">
        <v>6</v>
      </c>
      <c r="K1381" s="5" t="n">
        <v>5</v>
      </c>
      <c r="L1381" s="4" t="n">
        <v>20</v>
      </c>
      <c r="M1381" s="4" t="n">
        <v>6</v>
      </c>
      <c r="N1381" s="5" t="n">
        <v>5</v>
      </c>
      <c r="O1381" s="3" t="inlineStr">
        <is>
          <t>원룸 남향  조치원역 도보가능합니다</t>
        </is>
      </c>
      <c r="P1381" s="6">
        <f>HYPERLINK("https://fin.land.naver.com/articles/2653495764", "매물Link")</f>
        <v/>
      </c>
      <c r="Q1381" s="6">
        <f>HYPERLINK("https://map.naver.com/p/search/조치원읍 남리 119-12", "지도Link")</f>
        <v/>
      </c>
      <c r="R1381" s="6">
        <f>HYPERLINK("http://www.eum.go.kr/web/ar/lu/luLandDet.jsp?pnu=3611025027101190012&amp;isNoScr=script&amp;mode=search", "토지이음")</f>
        <v/>
      </c>
      <c r="S1381" s="3" t="inlineStr">
        <is>
          <t>OK수</t>
        </is>
      </c>
      <c r="T1381" s="4" t="n">
        <v>1</v>
      </c>
      <c r="U1381" s="5" t="n">
        <v>282.8</v>
      </c>
      <c r="V1381" s="4" t="n">
        <v>485</v>
      </c>
      <c r="W1381" s="3" t="inlineStr">
        <is>
          <t>지정되지않음</t>
        </is>
      </c>
      <c r="X1381" s="3" t="inlineStr">
        <is>
          <t>상업기타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소로한면</t>
        </is>
      </c>
    </row>
    <row r="1382">
      <c r="A1382" s="3" t="inlineStr">
        <is>
          <t>조치원읍 남리 119-6</t>
        </is>
      </c>
      <c r="B1382" s="3" t="inlineStr">
        <is>
          <t>제2종일반주거지역</t>
        </is>
      </c>
      <c r="C1382" s="3" t="inlineStr">
        <is>
          <t>잡종지</t>
        </is>
      </c>
      <c r="D1382" s="3" t="inlineStr">
        <is>
          <t>1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27</v>
      </c>
      <c r="I1382" s="4" t="n">
        <v>16</v>
      </c>
      <c r="J1382" s="4" t="n">
        <v>5</v>
      </c>
      <c r="K1382" s="5" t="n">
        <v>5.4</v>
      </c>
      <c r="L1382" s="4" t="n">
        <v>16</v>
      </c>
      <c r="M1382" s="4" t="n">
        <v>5</v>
      </c>
      <c r="N1382" s="5" t="n">
        <v>5.4</v>
      </c>
      <c r="O1382" s="3" t="inlineStr">
        <is>
          <t>아늑하고 깔끔한 풀옵션,교통과 생활이 아주 편리,가성비 좋음,즉시 입주</t>
        </is>
      </c>
      <c r="P1382" s="6">
        <f>HYPERLINK("https://fin.land.naver.com/articles/2651659898", "매물Link")</f>
        <v/>
      </c>
      <c r="Q1382" s="6">
        <f>HYPERLINK("https://map.naver.com/p/search/조치원읍 남리 119-6", "지도Link")</f>
        <v/>
      </c>
      <c r="R1382" s="6">
        <f>HYPERLINK("http://www.eum.go.kr/web/ar/lu/luLandDet.jsp?pnu=3611025027101190006&amp;isNoScr=script&amp;mode=search", "토지이음")</f>
        <v/>
      </c>
      <c r="S1382" s="3" t="inlineStr">
        <is>
          <t>유정희</t>
        </is>
      </c>
      <c r="T1382" s="4" t="n">
        <v>1</v>
      </c>
      <c r="U1382" s="5" t="n">
        <v>285.5</v>
      </c>
      <c r="V1382" s="4" t="n">
        <v>249</v>
      </c>
      <c r="W1382" s="3" t="inlineStr">
        <is>
          <t>지정되지않음</t>
        </is>
      </c>
      <c r="X1382" s="3" t="inlineStr">
        <is>
          <t>상업기타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119-6</t>
        </is>
      </c>
      <c r="B1383" s="3" t="inlineStr">
        <is>
          <t>제2종일반주거지역</t>
        </is>
      </c>
      <c r="C1383" s="3" t="inlineStr">
        <is>
          <t>잡종지</t>
        </is>
      </c>
      <c r="D1383" s="3" t="inlineStr">
        <is>
          <t>4</t>
        </is>
      </c>
      <c r="E1383" s="3" t="inlineStr">
        <is>
          <t>단독</t>
        </is>
      </c>
      <c r="F1383" s="3" t="inlineStr">
        <is>
          <t>월세</t>
        </is>
      </c>
      <c r="G1383" s="4" t="n">
        <v>200</v>
      </c>
      <c r="H1383" s="4" t="n">
        <v>27</v>
      </c>
      <c r="I1383" s="4" t="n">
        <v>26</v>
      </c>
      <c r="J1383" s="4" t="n">
        <v>8</v>
      </c>
      <c r="K1383" s="5" t="n">
        <v>3.4</v>
      </c>
      <c r="L1383" s="4" t="n">
        <v>26</v>
      </c>
      <c r="M1383" s="4" t="n">
        <v>8</v>
      </c>
      <c r="N1383" s="5" t="n">
        <v>3.4</v>
      </c>
      <c r="O1383" s="3" t="inlineStr">
        <is>
          <t>조치원 시내의 교통 편리하고  깔끔한 원룸</t>
        </is>
      </c>
      <c r="P1383" s="6">
        <f>HYPERLINK("https://fin.land.naver.com/articles/2653992392", "매물Link")</f>
        <v/>
      </c>
      <c r="Q1383" s="6">
        <f>HYPERLINK("https://map.naver.com/p/search/조치원읍 남리 119-6", "지도Link")</f>
        <v/>
      </c>
      <c r="R1383" s="6">
        <f>HYPERLINK("http://www.eum.go.kr/web/ar/lu/luLandDet.jsp?pnu=3611025027101190006&amp;isNoScr=script&amp;mode=search", "토지이음")</f>
        <v/>
      </c>
      <c r="S1383" s="3" t="inlineStr">
        <is>
          <t>세종베스트</t>
        </is>
      </c>
      <c r="T1383" s="4" t="n">
        <v>1</v>
      </c>
      <c r="U1383" s="5" t="n">
        <v>285.5</v>
      </c>
      <c r="V1383" s="4" t="n">
        <v>249</v>
      </c>
      <c r="W1383" s="3" t="inlineStr">
        <is>
          <t>지정되지않음</t>
        </is>
      </c>
      <c r="X1383" s="3" t="inlineStr">
        <is>
          <t>상업기타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119-6</t>
        </is>
      </c>
      <c r="B1384" s="3" t="inlineStr">
        <is>
          <t>제2종일반주거지역</t>
        </is>
      </c>
      <c r="C1384" s="3" t="inlineStr">
        <is>
          <t>잡종지</t>
        </is>
      </c>
      <c r="D1384" s="3" t="inlineStr">
        <is>
          <t>3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100</v>
      </c>
      <c r="H1384" s="4" t="n">
        <v>23</v>
      </c>
      <c r="I1384" s="4" t="n">
        <v>0</v>
      </c>
      <c r="J1384" s="4" t="n">
        <v>0</v>
      </c>
      <c r="K1384" s="5" t="n">
        <v>0</v>
      </c>
      <c r="L1384" s="4" t="n">
        <v>19</v>
      </c>
      <c r="M1384" s="4" t="n">
        <v>6</v>
      </c>
      <c r="N1384" s="5" t="n">
        <v>3.8</v>
      </c>
      <c r="O1384" s="3" t="inlineStr">
        <is>
          <t>남리 버스정류장 가까운 위치</t>
        </is>
      </c>
      <c r="P1384" s="6">
        <f>HYPERLINK("https://fin.land.naver.com/articles/2654005712", "매물Link")</f>
        <v/>
      </c>
      <c r="Q1384" s="6">
        <f>HYPERLINK("https://map.naver.com/p/search/조치원읍 남리 119-6", "지도Link")</f>
        <v/>
      </c>
      <c r="R1384" s="6">
        <f>HYPERLINK("http://www.eum.go.kr/web/ar/lu/luLandDet.jsp?pnu=3611025027101190006&amp;isNoScr=script&amp;mode=search",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285.5</v>
      </c>
      <c r="V1384" s="4" t="n">
        <v>249</v>
      </c>
      <c r="W1384" s="3" t="inlineStr">
        <is>
          <t>지정되지않음</t>
        </is>
      </c>
      <c r="X1384" s="3" t="inlineStr">
        <is>
          <t>상업기타</t>
        </is>
      </c>
      <c r="Y1384" s="3" t="inlineStr">
        <is>
          <t>평지</t>
        </is>
      </c>
      <c r="Z1384" s="3" t="inlineStr">
        <is>
          <t>정방형</t>
        </is>
      </c>
      <c r="AA1384" s="3" t="inlineStr">
        <is>
          <t>소로한면</t>
        </is>
      </c>
    </row>
    <row r="1385">
      <c r="A1385" s="3" t="inlineStr">
        <is>
          <t>조치원읍 남리 12-34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16500</v>
      </c>
      <c r="H1385" s="4" t="n">
        <v>0</v>
      </c>
      <c r="I1385" s="4" t="n">
        <v>108</v>
      </c>
      <c r="J1385" s="4" t="n">
        <v>33</v>
      </c>
      <c r="K1385" s="5" t="n">
        <v>500</v>
      </c>
      <c r="L1385" s="4" t="n">
        <v>110</v>
      </c>
      <c r="M1385" s="4" t="n">
        <v>33</v>
      </c>
      <c r="N1385" s="5" t="n">
        <v>500</v>
      </c>
      <c r="O1385" s="3" t="inlineStr">
        <is>
          <t>남리 우성볼링장 뒷편  주택거주하고싶은분 추천합니다</t>
        </is>
      </c>
      <c r="P1385" s="6">
        <f>HYPERLINK("https://fin.land.naver.com/articles/2655702346", "매물Link")</f>
        <v/>
      </c>
      <c r="Q1385" s="6">
        <f>HYPERLINK("https://map.naver.com/p/search/조치원읍 남리 12-34", "지도Link")</f>
        <v/>
      </c>
      <c r="R1385" s="6">
        <f>HYPERLINK("http://www.eum.go.kr/web/ar/lu/luLandDet.jsp?pnu=3611025027100120034&amp;isNoScr=script&amp;mode=search", "토지이음")</f>
        <v/>
      </c>
      <c r="S1385" s="3" t="inlineStr">
        <is>
          <t>OK수</t>
        </is>
      </c>
      <c r="T1385" s="4" t="n">
        <v>1</v>
      </c>
      <c r="U1385" s="5" t="n">
        <v>196.8</v>
      </c>
      <c r="V1385" s="4" t="n">
        <v>108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조치원읍 남리 242-1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100</v>
      </c>
      <c r="H1386" s="4" t="n">
        <v>25</v>
      </c>
      <c r="I1386" s="4" t="n">
        <v>23</v>
      </c>
      <c r="J1386" s="4" t="n">
        <v>7</v>
      </c>
      <c r="K1386" s="5" t="n">
        <v>3.6</v>
      </c>
      <c r="L1386" s="4" t="n">
        <v>23</v>
      </c>
      <c r="M1386" s="4" t="n">
        <v>7</v>
      </c>
      <c r="N1386" s="5" t="n">
        <v>3.6</v>
      </c>
      <c r="O1386" s="3" t="inlineStr">
        <is>
          <t>남리 큰방 전통시장 인근  편의시설 도보가능</t>
        </is>
      </c>
      <c r="P1386" s="6">
        <f>HYPERLINK("https://fin.land.naver.com/articles/2656395974", "매물Link")</f>
        <v/>
      </c>
      <c r="Q1386" s="6">
        <f>HYPERLINK("https://map.naver.com/p/search/조치원읍 남리 242-1", "지도Link")</f>
        <v/>
      </c>
      <c r="R1386" s="6">
        <f>HYPERLINK("http://www.eum.go.kr/web/ar/lu/luLandDet.jsp?pnu=3611025027102420001&amp;isNoScr=script&amp;mode=search",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211.3</v>
      </c>
      <c r="V1386" s="4" t="n">
        <v>330.1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정방형</t>
        </is>
      </c>
      <c r="AA1386" s="3" t="inlineStr">
        <is>
          <t>소로한면</t>
        </is>
      </c>
    </row>
    <row r="1387">
      <c r="A1387" s="3" t="inlineStr">
        <is>
          <t>조치원읍 남리 243-1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28</v>
      </c>
      <c r="I1387" s="4" t="n">
        <v>29</v>
      </c>
      <c r="J1387" s="4" t="n">
        <v>9</v>
      </c>
      <c r="K1387" s="5" t="n">
        <v>3.1</v>
      </c>
      <c r="L1387" s="4" t="n">
        <v>29</v>
      </c>
      <c r="M1387" s="4" t="n">
        <v>9</v>
      </c>
      <c r="N1387" s="5" t="n">
        <v>3.1</v>
      </c>
      <c r="O1387" s="3" t="inlineStr">
        <is>
          <t>역과 터미널 도보 7분 이내,전통시장 도보 3분,큰 방,관리비 없음</t>
        </is>
      </c>
      <c r="P1387" s="6">
        <f>HYPERLINK("https://fin.land.naver.com/articles/2656092958", "매물Link")</f>
        <v/>
      </c>
      <c r="Q1387" s="6">
        <f>HYPERLINK("https://map.naver.com/p/search/조치원읍 남리 243-1", "지도Link")</f>
        <v/>
      </c>
      <c r="R1387" s="6">
        <f>HYPERLINK("http://www.eum.go.kr/web/ar/lu/luLandDet.jsp?pnu=3611025027102430001&amp;isNoScr=script&amp;mode=search", "토지이음")</f>
        <v/>
      </c>
      <c r="S1387" s="3" t="inlineStr">
        <is>
          <t>유정희</t>
        </is>
      </c>
      <c r="T1387" s="4" t="n">
        <v>1</v>
      </c>
      <c r="U1387" s="5" t="n">
        <v>207.1</v>
      </c>
      <c r="V1387" s="4" t="n">
        <v>340.8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299-2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전세</t>
        </is>
      </c>
      <c r="G1388" s="4" t="n">
        <v>4000</v>
      </c>
      <c r="H1388" s="4" t="n">
        <v>0</v>
      </c>
      <c r="I1388" s="4" t="n">
        <v>26</v>
      </c>
      <c r="J1388" s="4" t="n">
        <v>8</v>
      </c>
      <c r="K1388" s="5" t="n">
        <v>500</v>
      </c>
      <c r="L1388" s="4" t="n">
        <v>19</v>
      </c>
      <c r="M1388" s="4" t="n">
        <v>6</v>
      </c>
      <c r="N1388" s="5" t="n">
        <v>666.7</v>
      </c>
      <c r="O1388" s="3" t="inlineStr">
        <is>
          <t>LH 가능.주방분리형.보증보험가능.시장1분. 역3분.깔끔한방</t>
        </is>
      </c>
      <c r="P1388" s="6">
        <f>HYPERLINK("https://fin.land.naver.com/articles/2655740949", "매물Link")</f>
        <v/>
      </c>
      <c r="Q1388" s="6">
        <f>HYPERLINK("https://map.naver.com/p/search/조치원읍 남리 299-2", "지도Link")</f>
        <v/>
      </c>
      <c r="R1388" s="6">
        <f>HYPERLINK("http://www.eum.go.kr/web/ar/lu/luLandDet.jsp?pnu=3611025027102990002&amp;isNoScr=script&amp;mode=search", "토지이음")</f>
        <v/>
      </c>
      <c r="S1388" s="3" t="inlineStr">
        <is>
          <t>마이룸</t>
        </is>
      </c>
      <c r="T1388" s="4" t="n">
        <v>1</v>
      </c>
      <c r="U1388" s="5" t="n">
        <v>223.9</v>
      </c>
      <c r="V1388" s="4" t="n">
        <v>407.8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소로각지</t>
        </is>
      </c>
    </row>
    <row r="1389">
      <c r="A1389" s="3" t="inlineStr">
        <is>
          <t>조치원읍 남리 299-2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26</v>
      </c>
      <c r="J1389" s="4" t="n">
        <v>8</v>
      </c>
      <c r="K1389" s="5" t="n">
        <v>3.8</v>
      </c>
      <c r="L1389" s="4" t="n">
        <v>19</v>
      </c>
      <c r="M1389" s="4" t="n">
        <v>6</v>
      </c>
      <c r="N1389" s="5" t="n">
        <v>5</v>
      </c>
      <c r="O1389" s="3" t="inlineStr">
        <is>
          <t>주방분리형.시장1분. 역3분.깔끔한방</t>
        </is>
      </c>
      <c r="P1389" s="6">
        <f>HYPERLINK("https://fin.land.naver.com/articles/2653684540", "매물Link")</f>
        <v/>
      </c>
      <c r="Q1389" s="6">
        <f>HYPERLINK("https://map.naver.com/p/search/조치원읍 남리 299-2", "지도Link")</f>
        <v/>
      </c>
      <c r="R1389" s="6">
        <f>HYPERLINK("http://www.eum.go.kr/web/ar/lu/luLandDet.jsp?pnu=3611025027102990002&amp;isNoScr=script&amp;mode=search", "토지이음")</f>
        <v/>
      </c>
      <c r="S1389" s="3" t="inlineStr">
        <is>
          <t>마이룸</t>
        </is>
      </c>
      <c r="T1389" s="4" t="n">
        <v>1</v>
      </c>
      <c r="U1389" s="5" t="n">
        <v>223.9</v>
      </c>
      <c r="V1389" s="4" t="n">
        <v>407.8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세로장방</t>
        </is>
      </c>
      <c r="AA1389" s="3" t="inlineStr">
        <is>
          <t>소로각지</t>
        </is>
      </c>
    </row>
    <row r="1390">
      <c r="A1390" s="3" t="inlineStr">
        <is>
          <t>조치원읍 남리 322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54</v>
      </c>
      <c r="I1390" s="4" t="n">
        <v>49</v>
      </c>
      <c r="J1390" s="4" t="n">
        <v>15</v>
      </c>
      <c r="K1390" s="5" t="n">
        <v>3.6</v>
      </c>
      <c r="L1390" s="4" t="n">
        <v>42</v>
      </c>
      <c r="M1390" s="4" t="n">
        <v>13</v>
      </c>
      <c r="N1390" s="5" t="n">
        <v>4.2</v>
      </c>
      <c r="O1390" s="3" t="inlineStr">
        <is>
          <t>리모델링된 투룸 주택 빠른입주 협의</t>
        </is>
      </c>
      <c r="P1390" s="6">
        <f>HYPERLINK("https://fin.land.naver.com/articles/2654029961", "매물Link")</f>
        <v/>
      </c>
      <c r="Q1390" s="6">
        <f>HYPERLINK("https://map.naver.com/p/search/조치원읍 남리 322", "지도Link")</f>
        <v/>
      </c>
      <c r="R1390" s="6">
        <f>HYPERLINK("http://www.eum.go.kr/web/ar/lu/luLandDet.jsp?pnu=3611025027103220000&amp;isNoScr=script&amp;mode=search",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393.7</v>
      </c>
      <c r="V1390" s="4" t="n">
        <v>155.8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가로장방</t>
        </is>
      </c>
      <c r="AA1390" s="3" t="inlineStr">
        <is>
          <t>중로각지</t>
        </is>
      </c>
    </row>
    <row r="1391">
      <c r="A1391" s="3" t="inlineStr">
        <is>
          <t>조치원읍 남리 327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월세</t>
        </is>
      </c>
      <c r="G1391" s="4" t="n">
        <v>500</v>
      </c>
      <c r="H1391" s="4" t="n">
        <v>55</v>
      </c>
      <c r="I1391" s="4" t="n">
        <v>57</v>
      </c>
      <c r="J1391" s="4" t="n">
        <v>17</v>
      </c>
      <c r="K1391" s="5" t="n">
        <v>3.2</v>
      </c>
      <c r="L1391" s="4" t="n">
        <v>57</v>
      </c>
      <c r="M1391" s="4" t="n">
        <v>17</v>
      </c>
      <c r="N1391" s="5" t="n">
        <v>3.2</v>
      </c>
      <c r="O1391" s="3" t="inlineStr">
        <is>
          <t>남리 수리후 첫입주 1층 2룸  즉시입주 가능합니다</t>
        </is>
      </c>
      <c r="P1391" s="6">
        <f>HYPERLINK("https://fin.land.naver.com/articles/2654337746", "매물Link")</f>
        <v/>
      </c>
      <c r="Q1391" s="6">
        <f>HYPERLINK("https://map.naver.com/p/search/조치원읍 남리 327", "지도Link")</f>
        <v/>
      </c>
      <c r="R1391" s="6">
        <f>HYPERLINK("http://www.eum.go.kr/web/ar/lu/luLandDet.jsp?pnu=3611025027103270000&amp;isNoScr=script&amp;mode=search",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272.9</v>
      </c>
      <c r="V1391" s="4" t="n">
        <v>222.4</v>
      </c>
      <c r="W1391" s="3" t="inlineStr">
        <is>
          <t>지정되지않음</t>
        </is>
      </c>
      <c r="X1391" s="3" t="inlineStr">
        <is>
          <t>상업용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소로한면</t>
        </is>
      </c>
    </row>
    <row r="1392">
      <c r="A1392" s="3" t="inlineStr">
        <is>
          <t>조치원읍 남리 351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도시형생활주택</t>
        </is>
      </c>
      <c r="F1392" s="3" t="inlineStr">
        <is>
          <t>월세</t>
        </is>
      </c>
      <c r="G1392" s="4" t="n">
        <v>200</v>
      </c>
      <c r="H1392" s="4" t="n">
        <v>31</v>
      </c>
      <c r="I1392" s="4" t="n">
        <v>25</v>
      </c>
      <c r="J1392" s="4" t="n">
        <v>8</v>
      </c>
      <c r="K1392" s="5" t="n">
        <v>3.9</v>
      </c>
      <c r="L1392" s="4" t="n">
        <v>17</v>
      </c>
      <c r="M1392" s="4" t="n">
        <v>5</v>
      </c>
      <c r="N1392" s="5" t="n">
        <v>6.2</v>
      </c>
      <c r="O1392" s="3" t="inlineStr">
        <is>
          <t>세종 명품 오피스텔</t>
        </is>
      </c>
      <c r="P1392" s="6">
        <f>HYPERLINK("https://fin.land.naver.com/articles/2654414962", "매물Link")</f>
        <v/>
      </c>
      <c r="Q1392" s="6">
        <f>HYPERLINK("https://map.naver.com/p/search/조치원읍 남리 351", "지도Link")</f>
        <v/>
      </c>
      <c r="R1392" s="6">
        <f>HYPERLINK("http://www.eum.go.kr/web/ar/lu/luLandDet.jsp?pnu=3611025027103510000&amp;isNoScr=script&amp;mode=search",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278.9</v>
      </c>
      <c r="V1392" s="4" t="n">
        <v>812.5</v>
      </c>
      <c r="W1392" s="3" t="inlineStr">
        <is>
          <t>지정되지않음</t>
        </is>
      </c>
      <c r="X1392" s="3" t="inlineStr">
        <is>
          <t>상업용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소로각지</t>
        </is>
      </c>
    </row>
    <row r="1393">
      <c r="A1393" s="3" t="inlineStr">
        <is>
          <t>조치원읍 남리 354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150</v>
      </c>
      <c r="H1393" s="4" t="n">
        <v>32</v>
      </c>
      <c r="I1393" s="4" t="n">
        <v>24</v>
      </c>
      <c r="J1393" s="4" t="n">
        <v>7</v>
      </c>
      <c r="K1393" s="5" t="n">
        <v>4.6</v>
      </c>
      <c r="L1393" s="4" t="n">
        <v>13</v>
      </c>
      <c r="M1393" s="4" t="n">
        <v>4</v>
      </c>
      <c r="N1393" s="5" t="n">
        <v>8</v>
      </c>
      <c r="O1393" s="3" t="inlineStr">
        <is>
          <t>조치원명품원룸 도시형생활주택 조치원역도보5분  즉시입주가능 관리소장근무</t>
        </is>
      </c>
      <c r="P1393" s="6">
        <f>HYPERLINK("https://fin.land.naver.com/articles/2651832029", "매물Link")</f>
        <v/>
      </c>
      <c r="Q1393" s="6">
        <f>HYPERLINK("https://map.naver.com/p/search/조치원읍 남리 354", "지도Link")</f>
        <v/>
      </c>
      <c r="R1393" s="6">
        <f>HYPERLINK("http://www.eum.go.kr/web/ar/lu/luLandDet.jsp?pnu=3611025027103540000&amp;isNoScr=script&amp;mode=search", "토지이음")</f>
        <v/>
      </c>
      <c r="S1393" s="3" t="inlineStr">
        <is>
          <t>까치</t>
        </is>
      </c>
      <c r="T1393" s="4" t="n">
        <v>1</v>
      </c>
      <c r="U1393" s="5" t="n">
        <v>275.7</v>
      </c>
      <c r="V1393" s="4" t="n">
        <v>605.2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정방형</t>
        </is>
      </c>
      <c r="AA1393" s="3" t="inlineStr">
        <is>
          <t>소로한면</t>
        </is>
      </c>
    </row>
    <row r="1394">
      <c r="A1394" s="3" t="inlineStr">
        <is>
          <t>조치원읍 남리 354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일반원룸</t>
        </is>
      </c>
      <c r="F1394" s="3" t="inlineStr">
        <is>
          <t>단기임대</t>
        </is>
      </c>
      <c r="G1394" s="4" t="n">
        <v>150</v>
      </c>
      <c r="H1394" s="4" t="n">
        <v>40</v>
      </c>
      <c r="I1394" s="4" t="n">
        <v>30</v>
      </c>
      <c r="J1394" s="4" t="n">
        <v>9</v>
      </c>
      <c r="K1394" s="5" t="n">
        <v>16.7</v>
      </c>
      <c r="L1394" s="4" t="n">
        <v>21</v>
      </c>
      <c r="M1394" s="4" t="n">
        <v>6</v>
      </c>
      <c r="N1394" s="5" t="n">
        <v>25</v>
      </c>
      <c r="O1394" s="3" t="inlineStr">
        <is>
          <t>조치원명품원룸 도시형생활주택 조치원역도보5분  즉시입주가능 관리소장근무</t>
        </is>
      </c>
      <c r="P1394" s="6">
        <f>HYPERLINK("https://fin.land.naver.com/articles/2651801042", "매물Link")</f>
        <v/>
      </c>
      <c r="Q1394" s="6">
        <f>HYPERLINK("https://map.naver.com/p/search/조치원읍 남리 354", "지도Link")</f>
        <v/>
      </c>
      <c r="R1394" s="6">
        <f>HYPERLINK("http://www.eum.go.kr/web/ar/lu/luLandDet.jsp?pnu=3611025027103540000&amp;isNoScr=script&amp;mode=search", "토지이음")</f>
        <v/>
      </c>
      <c r="S1394" s="3" t="inlineStr">
        <is>
          <t>까치</t>
        </is>
      </c>
      <c r="T1394" s="4" t="n">
        <v>1</v>
      </c>
      <c r="U1394" s="5" t="n">
        <v>275.7</v>
      </c>
      <c r="V1394" s="4" t="n">
        <v>605.2</v>
      </c>
      <c r="W1394" s="3" t="inlineStr">
        <is>
          <t>지정되지않음</t>
        </is>
      </c>
      <c r="X1394" s="3" t="inlineStr">
        <is>
          <t>상업나지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소로한면</t>
        </is>
      </c>
    </row>
    <row r="1395">
      <c r="A1395" s="3" t="inlineStr">
        <is>
          <t>조치원읍 남리 354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단기임대</t>
        </is>
      </c>
      <c r="G1395" s="4" t="n">
        <v>150</v>
      </c>
      <c r="H1395" s="4" t="n">
        <v>38</v>
      </c>
      <c r="I1395" s="4" t="n">
        <v>30</v>
      </c>
      <c r="J1395" s="4" t="n">
        <v>9</v>
      </c>
      <c r="K1395" s="5" t="n">
        <v>16.7</v>
      </c>
      <c r="L1395" s="4" t="n">
        <v>21</v>
      </c>
      <c r="M1395" s="4" t="n">
        <v>6</v>
      </c>
      <c r="N1395" s="5" t="n">
        <v>25</v>
      </c>
      <c r="O1395" s="3" t="inlineStr">
        <is>
          <t>조치원명품원룸 도시형생활주택 조치원역도보5분  즉시입주가능 관리소장근무</t>
        </is>
      </c>
      <c r="P1395" s="6">
        <f>HYPERLINK("https://fin.land.naver.com/articles/2651839350", "매물Link")</f>
        <v/>
      </c>
      <c r="Q1395" s="6">
        <f>HYPERLINK("https://map.naver.com/p/search/조치원읍 남리 354", "지도Link")</f>
        <v/>
      </c>
      <c r="R1395" s="6">
        <f>HYPERLINK("http://www.eum.go.kr/web/ar/lu/luLandDet.jsp?pnu=3611025027103540000&amp;isNoScr=script&amp;mode=search", "토지이음")</f>
        <v/>
      </c>
      <c r="S1395" s="3" t="inlineStr">
        <is>
          <t>까치</t>
        </is>
      </c>
      <c r="T1395" s="4" t="n">
        <v>1</v>
      </c>
      <c r="U1395" s="5" t="n">
        <v>275.7</v>
      </c>
      <c r="V1395" s="4" t="n">
        <v>605.2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소로한면</t>
        </is>
      </c>
    </row>
    <row r="1396">
      <c r="A1396" s="3" t="inlineStr">
        <is>
          <t>조치원읍 남리 354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120</v>
      </c>
      <c r="H1396" s="4" t="n">
        <v>40</v>
      </c>
      <c r="I1396" s="4" t="n">
        <v>29</v>
      </c>
      <c r="J1396" s="4" t="n">
        <v>9</v>
      </c>
      <c r="K1396" s="5" t="n">
        <v>13.3</v>
      </c>
      <c r="L1396" s="4" t="n">
        <v>20</v>
      </c>
      <c r="M1396" s="4" t="n">
        <v>6</v>
      </c>
      <c r="N1396" s="5" t="n">
        <v>20</v>
      </c>
      <c r="O1396" s="3" t="inlineStr">
        <is>
          <t>단기 2개월도 임대가능 명품원룸 조치원역도보5분 주차넉넉 즉시입주</t>
        </is>
      </c>
      <c r="P1396" s="6">
        <f>HYPERLINK("https://fin.land.naver.com/articles/2651797631", "매물Link")</f>
        <v/>
      </c>
      <c r="Q1396" s="6">
        <f>HYPERLINK("https://map.naver.com/p/search/조치원읍 남리 354", "지도Link")</f>
        <v/>
      </c>
      <c r="R1396" s="6">
        <f>HYPERLINK("http://www.eum.go.kr/web/ar/lu/luLandDet.jsp?pnu=3611025027103540000&amp;isNoScr=script&amp;mode=search", "토지이음")</f>
        <v/>
      </c>
      <c r="S1396" s="3" t="inlineStr">
        <is>
          <t>까치</t>
        </is>
      </c>
      <c r="T1396" s="4" t="n">
        <v>1</v>
      </c>
      <c r="U1396" s="5" t="n">
        <v>275.7</v>
      </c>
      <c r="V1396" s="4" t="n">
        <v>605.2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정방형</t>
        </is>
      </c>
      <c r="AA1396" s="3" t="inlineStr">
        <is>
          <t>소로한면</t>
        </is>
      </c>
    </row>
    <row r="1397">
      <c r="A1397" s="3" t="inlineStr">
        <is>
          <t>조치원읍 남리 354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5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30</v>
      </c>
      <c r="I1397" s="4" t="n">
        <v>29</v>
      </c>
      <c r="J1397" s="4" t="n">
        <v>9</v>
      </c>
      <c r="K1397" s="5" t="n">
        <v>3.3</v>
      </c>
      <c r="L1397" s="4" t="n">
        <v>20</v>
      </c>
      <c r="M1397" s="4" t="n">
        <v>6</v>
      </c>
      <c r="N1397" s="5" t="n">
        <v>5</v>
      </c>
      <c r="O1397" s="3" t="inlineStr">
        <is>
          <t>조치원역 도보가능 풀옵션 조용한 주택가 즉시입주가능합니다</t>
        </is>
      </c>
      <c r="P1397" s="6">
        <f>HYPERLINK("https://fin.land.naver.com/articles/2655655277", "매물Link")</f>
        <v/>
      </c>
      <c r="Q1397" s="6">
        <f>HYPERLINK("https://map.naver.com/p/search/조치원읍 남리 354", "지도Link")</f>
        <v/>
      </c>
      <c r="R1397" s="6">
        <f>HYPERLINK("http://www.eum.go.kr/web/ar/lu/luLandDet.jsp?pnu=3611025027103540000&amp;isNoScr=script&amp;mode=search", "토지이음")</f>
        <v/>
      </c>
      <c r="S1397" s="3" t="inlineStr">
        <is>
          <t>OK수</t>
        </is>
      </c>
      <c r="T1397" s="4" t="n">
        <v>1</v>
      </c>
      <c r="U1397" s="5" t="n">
        <v>275.7</v>
      </c>
      <c r="V1397" s="4" t="n">
        <v>605.2</v>
      </c>
      <c r="W1397" s="3" t="inlineStr">
        <is>
          <t>지정되지않음</t>
        </is>
      </c>
      <c r="X1397" s="3" t="inlineStr">
        <is>
          <t>상업나지</t>
        </is>
      </c>
      <c r="Y1397" s="3" t="inlineStr">
        <is>
          <t>평지</t>
        </is>
      </c>
      <c r="Z1397" s="3" t="inlineStr">
        <is>
          <t>정방형</t>
        </is>
      </c>
      <c r="AA1397" s="3" t="inlineStr">
        <is>
          <t>소로한면</t>
        </is>
      </c>
    </row>
    <row r="1398">
      <c r="A1398" s="3" t="inlineStr">
        <is>
          <t>조치원읍 남리 368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단독</t>
        </is>
      </c>
      <c r="F1398" s="3" t="inlineStr">
        <is>
          <t>전세</t>
        </is>
      </c>
      <c r="G1398" s="4" t="n">
        <v>4200</v>
      </c>
      <c r="H1398" s="4" t="n">
        <v>0</v>
      </c>
      <c r="I1398" s="4" t="n">
        <v>46</v>
      </c>
      <c r="J1398" s="4" t="n">
        <v>14</v>
      </c>
      <c r="K1398" s="5" t="n">
        <v>300</v>
      </c>
      <c r="L1398" s="4" t="n">
        <v>33</v>
      </c>
      <c r="M1398" s="4" t="n">
        <v>10</v>
      </c>
      <c r="N1398" s="5" t="n">
        <v>420</v>
      </c>
      <c r="O1398" s="3" t="inlineStr">
        <is>
          <t>nan</t>
        </is>
      </c>
      <c r="P1398" s="6">
        <f>HYPERLINK("https://fin.land.naver.com/articles/2653251952", "매물Link")</f>
        <v/>
      </c>
      <c r="Q1398" s="6">
        <f>HYPERLINK("https://map.naver.com/p/search/조치원읍 남리 368", "지도Link")</f>
        <v/>
      </c>
      <c r="R1398" s="6">
        <f>HYPERLINK("http://www.eum.go.kr/web/ar/lu/luLandDet.jsp?pnu=3611025027103680000&amp;isNoScr=script&amp;mode=search",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280.4</v>
      </c>
      <c r="V1398" s="4" t="n">
        <v>549.4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중로한면</t>
        </is>
      </c>
    </row>
    <row r="1399">
      <c r="A1399" s="3" t="inlineStr">
        <is>
          <t>조치원읍 남리 37-4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29</v>
      </c>
      <c r="I1399" s="4" t="n">
        <v>39</v>
      </c>
      <c r="J1399" s="4" t="n">
        <v>12</v>
      </c>
      <c r="K1399" s="5" t="n">
        <v>2.4</v>
      </c>
      <c r="L1399" s="4" t="n">
        <v>26</v>
      </c>
      <c r="M1399" s="4" t="n">
        <v>8</v>
      </c>
      <c r="N1399" s="5" t="n">
        <v>3.6</v>
      </c>
      <c r="O1399" s="3" t="inlineStr">
        <is>
          <t>조치원역 인근O엘리베이터O인프라좋아요</t>
        </is>
      </c>
      <c r="P1399" s="6">
        <f>HYPERLINK("https://fin.land.naver.com/articles/2653996242", "매물Link")</f>
        <v/>
      </c>
      <c r="Q1399" s="6">
        <f>HYPERLINK("https://map.naver.com/p/search/조치원읍 남리 37-4", "지도Link")</f>
        <v/>
      </c>
      <c r="R1399" s="6">
        <f>HYPERLINK("http://www.eum.go.kr/web/ar/lu/luLandDet.jsp?pnu=3611025027100370004&amp;isNoScr=script&amp;mode=search",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254.6</v>
      </c>
      <c r="V1399" s="4" t="n">
        <v>221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조치원읍 남리 397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45</v>
      </c>
      <c r="I1400" s="4" t="n">
        <v>52</v>
      </c>
      <c r="J1400" s="4" t="n">
        <v>16</v>
      </c>
      <c r="K1400" s="5" t="n">
        <v>2.8</v>
      </c>
      <c r="L1400" s="4" t="n">
        <v>42</v>
      </c>
      <c r="M1400" s="4" t="n">
        <v>13</v>
      </c>
      <c r="N1400" s="5" t="n">
        <v>3.5</v>
      </c>
      <c r="O1400" s="3" t="inlineStr">
        <is>
          <t>조치원역,시장 10분거리, 투룸,엘리베이터O,먹자골목위치,채광환기짱</t>
        </is>
      </c>
      <c r="P1400" s="6">
        <f>HYPERLINK("https://fin.land.naver.com/articles/2651743053", "매물Link")</f>
        <v/>
      </c>
      <c r="Q1400" s="6">
        <f>HYPERLINK("https://map.naver.com/p/search/조치원읍 남리 397", "지도Link")</f>
        <v/>
      </c>
      <c r="R1400" s="6">
        <f>HYPERLINK("http://www.eum.go.kr/web/ar/lu/luLandDet.jsp?pnu=3611025027103970000&amp;isNoScr=script&amp;mode=search", "토지이음")</f>
        <v/>
      </c>
      <c r="S1400" s="3" t="inlineStr">
        <is>
          <t>오송메카</t>
        </is>
      </c>
      <c r="T1400" s="4" t="n">
        <v>1</v>
      </c>
      <c r="U1400" s="5" t="n">
        <v>286.1</v>
      </c>
      <c r="V1400" s="4" t="n">
        <v>546.2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중로한면</t>
        </is>
      </c>
    </row>
    <row r="1401">
      <c r="A1401" s="3" t="inlineStr">
        <is>
          <t>조치원읍 남리 397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500</v>
      </c>
      <c r="H1401" s="4" t="n">
        <v>45</v>
      </c>
      <c r="I1401" s="4" t="n">
        <v>49</v>
      </c>
      <c r="J1401" s="4" t="n">
        <v>15</v>
      </c>
      <c r="K1401" s="5" t="n">
        <v>3</v>
      </c>
      <c r="L1401" s="4" t="n">
        <v>42</v>
      </c>
      <c r="M1401" s="4" t="n">
        <v>13</v>
      </c>
      <c r="N1401" s="5" t="n">
        <v>3.5</v>
      </c>
      <c r="O1401" s="3" t="inlineStr">
        <is>
          <t>저렴하고 넓은 투룸O엘리베이터O전용주차장O가전제품완비</t>
        </is>
      </c>
      <c r="P1401" s="6">
        <f>HYPERLINK("https://fin.land.naver.com/articles/2655636417", "매물Link")</f>
        <v/>
      </c>
      <c r="Q1401" s="6">
        <f>HYPERLINK("https://map.naver.com/p/search/조치원읍 남리 397", "지도Link")</f>
        <v/>
      </c>
      <c r="R1401" s="6">
        <f>HYPERLINK("http://www.eum.go.kr/web/ar/lu/luLandDet.jsp?pnu=3611025027103970000&amp;isNoScr=script&amp;mode=search",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286.1</v>
      </c>
      <c r="V1401" s="4" t="n">
        <v>546.2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중로한면</t>
        </is>
      </c>
    </row>
    <row r="1402">
      <c r="A1402" s="3" t="inlineStr">
        <is>
          <t>조치원읍 남리 408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500</v>
      </c>
      <c r="H1402" s="4" t="n">
        <v>55</v>
      </c>
      <c r="I1402" s="4" t="n">
        <v>59</v>
      </c>
      <c r="J1402" s="4" t="n">
        <v>18</v>
      </c>
      <c r="K1402" s="5" t="n">
        <v>3.1</v>
      </c>
      <c r="L1402" s="4" t="n">
        <v>49</v>
      </c>
      <c r="M1402" s="4" t="n">
        <v>15</v>
      </c>
      <c r="N1402" s="5" t="n">
        <v>3.7</v>
      </c>
      <c r="O1402" s="3" t="inlineStr">
        <is>
          <t>관리비없음.큰투룸.즉시입주.조치원시내상권편리</t>
        </is>
      </c>
      <c r="P1402" s="6">
        <f>HYPERLINK("https://fin.land.naver.com/articles/2654028930", "매물Link")</f>
        <v/>
      </c>
      <c r="Q1402" s="6">
        <f>HYPERLINK("https://map.naver.com/p/search/조치원읍 남리 408", "지도Link")</f>
        <v/>
      </c>
      <c r="R1402" s="6">
        <f>HYPERLINK("http://www.eum.go.kr/web/ar/lu/luLandDet.jsp?pnu=3611025027104080000&amp;isNoScr=script&amp;mode=search",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240.7</v>
      </c>
      <c r="V1402" s="4" t="n">
        <v>475.8</v>
      </c>
      <c r="W1402" s="3" t="inlineStr">
        <is>
          <t>지정되지않음</t>
        </is>
      </c>
      <c r="X1402" s="3" t="inlineStr">
        <is>
          <t>상업기타</t>
        </is>
      </c>
      <c r="Y1402" s="3" t="inlineStr">
        <is>
          <t>평지</t>
        </is>
      </c>
      <c r="Z1402" s="3" t="inlineStr">
        <is>
          <t>가로장방</t>
        </is>
      </c>
      <c r="AA1402" s="3" t="inlineStr">
        <is>
          <t>세로한면(가)</t>
        </is>
      </c>
    </row>
    <row r="1403">
      <c r="A1403" s="3" t="inlineStr">
        <is>
          <t>조치원읍 남리 421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42</v>
      </c>
      <c r="J1403" s="4" t="n">
        <v>13</v>
      </c>
      <c r="K1403" s="5" t="n">
        <v>2.3</v>
      </c>
      <c r="L1403" s="4" t="n">
        <v>36</v>
      </c>
      <c r="M1403" s="4" t="n">
        <v>11</v>
      </c>
      <c r="N1403" s="5" t="n">
        <v>2.7</v>
      </c>
      <c r="O1403" s="3" t="inlineStr">
        <is>
          <t>풀옵션완비.주차시설편리.조치원시내권.역도가까워요</t>
        </is>
      </c>
      <c r="P1403" s="6">
        <f>HYPERLINK("https://fin.land.naver.com/articles/2652875059", "매물Link")</f>
        <v/>
      </c>
      <c r="Q1403" s="6">
        <f>HYPERLINK("https://map.naver.com/p/search/조치원읍 남리 421", "지도Link")</f>
        <v/>
      </c>
      <c r="R1403" s="6">
        <f>HYPERLINK("http://www.eum.go.kr/web/ar/lu/luLandDet.jsp?pnu=3611025027104210000&amp;isNoScr=script&amp;mode=search",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284.6</v>
      </c>
      <c r="V1403" s="4" t="n">
        <v>248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가로장방</t>
        </is>
      </c>
      <c r="AA1403" s="3" t="inlineStr">
        <is>
          <t>소로각지</t>
        </is>
      </c>
    </row>
    <row r="1404">
      <c r="A1404" s="3" t="inlineStr">
        <is>
          <t>조치원읍 남리 421-1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27</v>
      </c>
      <c r="I1404" s="4" t="n">
        <v>39</v>
      </c>
      <c r="J1404" s="4" t="n">
        <v>12</v>
      </c>
      <c r="K1404" s="5" t="n">
        <v>2.2</v>
      </c>
      <c r="L1404" s="4" t="n">
        <v>23</v>
      </c>
      <c r="M1404" s="4" t="n">
        <v>7</v>
      </c>
      <c r="N1404" s="5" t="n">
        <v>3.9</v>
      </c>
      <c r="O1404" s="3" t="inlineStr">
        <is>
          <t>보증금 100만원.조치원역 도보7분.즉시입주.</t>
        </is>
      </c>
      <c r="P1404" s="6">
        <f>HYPERLINK("https://fin.land.naver.com/articles/2654958726", "매물Link")</f>
        <v/>
      </c>
      <c r="Q1404" s="6">
        <f>HYPERLINK("https://map.naver.com/p/search/조치원읍 남리 421-1", "지도Link")</f>
        <v/>
      </c>
      <c r="R1404" s="6">
        <f>HYPERLINK("http://www.eum.go.kr/web/ar/lu/luLandDet.jsp?pnu=3611025027104210001&amp;isNoScr=script&amp;mode=search",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272.9</v>
      </c>
      <c r="V1404" s="4" t="n">
        <v>249.5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소로한면</t>
        </is>
      </c>
    </row>
    <row r="1405">
      <c r="A1405" s="3" t="inlineStr">
        <is>
          <t>조치원읍 남리 442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50</v>
      </c>
      <c r="I1405" s="4" t="n">
        <v>46</v>
      </c>
      <c r="J1405" s="4" t="n">
        <v>14</v>
      </c>
      <c r="K1405" s="5" t="n">
        <v>3.6</v>
      </c>
      <c r="L1405" s="4" t="n">
        <v>39</v>
      </c>
      <c r="M1405" s="4" t="n">
        <v>12</v>
      </c>
      <c r="N1405" s="5" t="n">
        <v>4.2</v>
      </c>
      <c r="O1405" s="3" t="inlineStr">
        <is>
          <t>조치원역부근 깔끔한 투룸 월세</t>
        </is>
      </c>
      <c r="P1405" s="6">
        <f>HYPERLINK("https://fin.land.naver.com/articles/2655652276", "매물Link")</f>
        <v/>
      </c>
      <c r="Q1405" s="6">
        <f>HYPERLINK("https://map.naver.com/p/search/조치원읍 남리 442", "지도Link")</f>
        <v/>
      </c>
      <c r="R1405" s="6">
        <f>HYPERLINK("http://www.eum.go.kr/web/ar/lu/luLandDet.jsp?pnu=3611025027104420000&amp;isNoScr=script&amp;mode=search",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190.8</v>
      </c>
      <c r="V1405" s="4" t="n">
        <v>340.5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조치원읍 남리 445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150</v>
      </c>
      <c r="H1406" s="4" t="n">
        <v>30</v>
      </c>
      <c r="I1406" s="4" t="n">
        <v>39</v>
      </c>
      <c r="J1406" s="4" t="n">
        <v>12</v>
      </c>
      <c r="K1406" s="5" t="n">
        <v>2.5</v>
      </c>
      <c r="L1406" s="4" t="n">
        <v>26</v>
      </c>
      <c r="M1406" s="4" t="n">
        <v>8</v>
      </c>
      <c r="N1406" s="5" t="n">
        <v>3.8</v>
      </c>
      <c r="O1406" s="3" t="inlineStr">
        <is>
          <t>저렴한 원룸.가성비 짱.조치원역도보거리.시내권.</t>
        </is>
      </c>
      <c r="P1406" s="6">
        <f>HYPERLINK("https://fin.land.naver.com/articles/2652559742", "매물Link")</f>
        <v/>
      </c>
      <c r="Q1406" s="6">
        <f>HYPERLINK("https://map.naver.com/p/search/조치원읍 남리 445", "지도Link")</f>
        <v/>
      </c>
      <c r="R1406" s="6">
        <f>HYPERLINK("http://www.eum.go.kr/web/ar/lu/luLandDet.jsp?pnu=3611025027104450000&amp;isNoScr=script&amp;mode=search",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207.7</v>
      </c>
      <c r="V1406" s="4" t="n">
        <v>287.8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소로한면</t>
        </is>
      </c>
    </row>
    <row r="1407">
      <c r="A1407" s="3" t="inlineStr">
        <is>
          <t>조치원읍 남리 47-3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188</v>
      </c>
      <c r="J1407" s="4" t="n">
        <v>57</v>
      </c>
      <c r="K1407" s="5" t="n">
        <v>789.5</v>
      </c>
      <c r="L1407" s="4" t="n">
        <v>66</v>
      </c>
      <c r="M1407" s="4" t="n">
        <v>20</v>
      </c>
      <c r="N1407" s="5" t="n">
        <v>2250</v>
      </c>
      <c r="O1407" s="3" t="inlineStr">
        <is>
          <t>주인거주,단독주택매매,역세권단독주택매매</t>
        </is>
      </c>
      <c r="P1407" s="6">
        <f>HYPERLINK("https://fin.land.naver.com/articles/2655970832", "매물Link")</f>
        <v/>
      </c>
      <c r="Q1407" s="6">
        <f>HYPERLINK("https://map.naver.com/p/search/조치원읍 남리 47-3", "지도Link")</f>
        <v/>
      </c>
      <c r="R1407" s="6">
        <f>HYPERLINK("http://www.eum.go.kr/web/ar/lu/luLandDet.jsp?pnu=3611025027100470003&amp;isNoScr=script&amp;mode=search", "토지이음")</f>
        <v/>
      </c>
      <c r="S1407" s="3" t="inlineStr">
        <is>
          <t>대림</t>
        </is>
      </c>
      <c r="T1407" s="4" t="n">
        <v>1</v>
      </c>
      <c r="U1407" s="5" t="n">
        <v>174</v>
      </c>
      <c r="V1407" s="4" t="n">
        <v>186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473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200</v>
      </c>
      <c r="H1408" s="4" t="n">
        <v>31</v>
      </c>
      <c r="I1408" s="4" t="n">
        <v>26</v>
      </c>
      <c r="J1408" s="4" t="n">
        <v>8</v>
      </c>
      <c r="K1408" s="5" t="n">
        <v>3.9</v>
      </c>
      <c r="L1408" s="4" t="n">
        <v>26</v>
      </c>
      <c r="M1408" s="4" t="n">
        <v>8</v>
      </c>
      <c r="N1408" s="5" t="n">
        <v>3.9</v>
      </c>
      <c r="O1408" s="3" t="inlineStr">
        <is>
          <t>조치원 시내이며, 재래시장, 초등학교인근이며, 오송과 인접함</t>
        </is>
      </c>
      <c r="P1408" s="6">
        <f>HYPERLINK("https://fin.land.naver.com/articles/2651504477", "매물Link")</f>
        <v/>
      </c>
      <c r="Q1408" s="6">
        <f>HYPERLINK("https://map.naver.com/p/search/조치원읍 남리 473", "지도Link")</f>
        <v/>
      </c>
      <c r="R1408" s="6">
        <f>HYPERLINK("http://www.eum.go.kr/web/ar/lu/luLandDet.jsp?pnu=3611025027104730000&amp;isNoScr=script&amp;mode=search", "토지이음")</f>
        <v/>
      </c>
      <c r="S1408" s="3" t="inlineStr">
        <is>
          <t>세종베스트</t>
        </is>
      </c>
      <c r="T1408" s="4" t="n">
        <v>1</v>
      </c>
      <c r="U1408" s="5" t="n">
        <v>261.8</v>
      </c>
      <c r="V1408" s="4" t="n">
        <v>446.7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중로한면</t>
        </is>
      </c>
    </row>
    <row r="1409">
      <c r="A1409" s="3" t="inlineStr">
        <is>
          <t>조치원읍 남리 473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39</v>
      </c>
      <c r="J1409" s="4" t="n">
        <v>12</v>
      </c>
      <c r="K1409" s="5" t="n">
        <v>2.5</v>
      </c>
      <c r="L1409" s="4" t="n">
        <v>23</v>
      </c>
      <c r="M1409" s="4" t="n">
        <v>7</v>
      </c>
      <c r="N1409" s="5" t="n">
        <v>4.3</v>
      </c>
      <c r="O1409" s="3" t="inlineStr">
        <is>
          <t>채광좋은 배란다 아주 크고 깨끗한 방</t>
        </is>
      </c>
      <c r="P1409" s="6">
        <f>HYPERLINK("https://fin.land.naver.com/articles/2654582313", "매물Link")</f>
        <v/>
      </c>
      <c r="Q1409" s="6">
        <f>HYPERLINK("https://map.naver.com/p/search/조치원읍 남리 473", "지도Link")</f>
        <v/>
      </c>
      <c r="R1409" s="6">
        <f>HYPERLINK("http://www.eum.go.kr/web/ar/lu/luLandDet.jsp?pnu=3611025027104730000&amp;isNoScr=script&amp;mode=search",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261.8</v>
      </c>
      <c r="V1409" s="4" t="n">
        <v>446.7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정방형</t>
        </is>
      </c>
      <c r="AA1409" s="3" t="inlineStr">
        <is>
          <t>중로한면</t>
        </is>
      </c>
    </row>
    <row r="1410">
      <c r="A1410" s="3" t="inlineStr">
        <is>
          <t>조치원읍 남리 60-2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3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200</v>
      </c>
      <c r="H1410" s="4" t="n">
        <v>27</v>
      </c>
      <c r="I1410" s="4" t="n">
        <v>19</v>
      </c>
      <c r="J1410" s="4" t="n">
        <v>6</v>
      </c>
      <c r="K1410" s="5" t="n">
        <v>4.5</v>
      </c>
      <c r="L1410" s="4" t="n">
        <v>14</v>
      </c>
      <c r="M1410" s="4" t="n">
        <v>4</v>
      </c>
      <c r="N1410" s="5" t="n">
        <v>6.8</v>
      </c>
      <c r="O1410" s="3" t="inlineStr">
        <is>
          <t>전통시장 웰마트인근 깔끔 원룸.즉시입주가능합니다.</t>
        </is>
      </c>
      <c r="P1410" s="6">
        <f>HYPERLINK("https://fin.land.naver.com/articles/2655549212", "매물Link")</f>
        <v/>
      </c>
      <c r="Q1410" s="6">
        <f>HYPERLINK("https://map.naver.com/p/search/조치원읍 남리 60-2", "지도Link")</f>
        <v/>
      </c>
      <c r="R1410" s="6">
        <f>HYPERLINK("http://www.eum.go.kr/web/ar/lu/luLandDet.jsp?pnu=3611025027100600002&amp;isNoScr=script&amp;mode=search", "토지이음")</f>
        <v/>
      </c>
      <c r="S1410" s="3" t="inlineStr">
        <is>
          <t>이음</t>
        </is>
      </c>
      <c r="T1410" s="4" t="n">
        <v>1</v>
      </c>
      <c r="U1410" s="5" t="n">
        <v>458.8</v>
      </c>
      <c r="V1410" s="4" t="n">
        <v>452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소로각지</t>
        </is>
      </c>
    </row>
    <row r="1411">
      <c r="A1411" s="3" t="inlineStr">
        <is>
          <t>조치원읍 남리 60-8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도시형생활주택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22</v>
      </c>
      <c r="J1411" s="4" t="n">
        <v>7</v>
      </c>
      <c r="K1411" s="5" t="n">
        <v>4.4</v>
      </c>
      <c r="L1411" s="4" t="n">
        <v>16</v>
      </c>
      <c r="M1411" s="4" t="n">
        <v>5</v>
      </c>
      <c r="N1411" s="5" t="n">
        <v>6.2</v>
      </c>
      <c r="O1411" s="3" t="inlineStr">
        <is>
          <t>남리 원룸 전통시장 조치원역 도보가능합니다</t>
        </is>
      </c>
      <c r="P1411" s="6">
        <f>HYPERLINK("https://fin.land.naver.com/articles/2656391471", "매물Link")</f>
        <v/>
      </c>
      <c r="Q1411" s="6">
        <f>HYPERLINK("https://map.naver.com/p/search/조치원읍 남리 60-8", "지도Link")</f>
        <v/>
      </c>
      <c r="R1411" s="6">
        <f>HYPERLINK("http://www.eum.go.kr/web/ar/lu/luLandDet.jsp?pnu=3611025027100600008&amp;isNoScr=script&amp;mode=search",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400</v>
      </c>
      <c r="V1411" s="4" t="n">
        <v>514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조치원읍 남리 60-8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36</v>
      </c>
      <c r="I1412" s="4" t="n">
        <v>32</v>
      </c>
      <c r="J1412" s="4" t="n">
        <v>10</v>
      </c>
      <c r="K1412" s="5" t="n">
        <v>3.6</v>
      </c>
      <c r="L1412" s="4" t="n">
        <v>23</v>
      </c>
      <c r="M1412" s="4" t="n">
        <v>7</v>
      </c>
      <c r="N1412" s="5" t="n">
        <v>5.1</v>
      </c>
      <c r="O1412" s="3" t="inlineStr">
        <is>
          <t>조치원역 도보5분 풀옵션 분리형 큰 원룸</t>
        </is>
      </c>
      <c r="P1412" s="6">
        <f>HYPERLINK("https://fin.land.naver.com/articles/2655844032", "매물Link")</f>
        <v/>
      </c>
      <c r="Q1412" s="6">
        <f>HYPERLINK("https://map.naver.com/p/search/조치원읍 남리 60-8", "지도Link")</f>
        <v/>
      </c>
      <c r="R1412" s="6">
        <f>HYPERLINK("http://www.eum.go.kr/web/ar/lu/luLandDet.jsp?pnu=3611025027100600008&amp;isNoScr=script&amp;mode=search", "토지이음")</f>
        <v/>
      </c>
      <c r="S1412" s="3" t="inlineStr">
        <is>
          <t>용죽부자</t>
        </is>
      </c>
      <c r="T1412" s="4" t="n">
        <v>1</v>
      </c>
      <c r="U1412" s="5" t="n">
        <v>400</v>
      </c>
      <c r="V1412" s="4" t="n">
        <v>514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60-8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31</v>
      </c>
      <c r="I1413" s="4" t="n">
        <v>22</v>
      </c>
      <c r="J1413" s="4" t="n">
        <v>7</v>
      </c>
      <c r="K1413" s="5" t="n">
        <v>4.4</v>
      </c>
      <c r="L1413" s="4" t="n">
        <v>16</v>
      </c>
      <c r="M1413" s="4" t="n">
        <v>5</v>
      </c>
      <c r="N1413" s="5" t="n">
        <v>6.2</v>
      </c>
      <c r="O1413" s="3" t="inlineStr">
        <is>
          <t>조치원역 도보5분 풀옵션 넓은방</t>
        </is>
      </c>
      <c r="P1413" s="6">
        <f>HYPERLINK("https://fin.land.naver.com/articles/2655835826", "매물Link")</f>
        <v/>
      </c>
      <c r="Q1413" s="6">
        <f>HYPERLINK("https://map.naver.com/p/search/조치원읍 남리 60-8", "지도Link")</f>
        <v/>
      </c>
      <c r="R1413" s="6">
        <f>HYPERLINK("http://www.eum.go.kr/web/ar/lu/luLandDet.jsp?pnu=3611025027100600008&amp;isNoScr=script&amp;mode=search", "토지이음")</f>
        <v/>
      </c>
      <c r="S1413" s="3" t="inlineStr">
        <is>
          <t>용죽부자</t>
        </is>
      </c>
      <c r="T1413" s="4" t="n">
        <v>1</v>
      </c>
      <c r="U1413" s="5" t="n">
        <v>400</v>
      </c>
      <c r="V1413" s="4" t="n">
        <v>514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60-8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도시형생활주택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0</v>
      </c>
      <c r="J1414" s="4" t="n">
        <v>0</v>
      </c>
      <c r="K1414" s="5" t="n">
        <v>0</v>
      </c>
      <c r="L1414" s="4" t="n">
        <v>22</v>
      </c>
      <c r="M1414" s="4" t="n">
        <v>7</v>
      </c>
      <c r="N1414" s="5" t="n">
        <v>4.3</v>
      </c>
      <c r="O1414" s="3" t="inlineStr">
        <is>
          <t>인기좋은  풀옵션완비방   깔끔한 주방분리   조치원역5분 교통편리</t>
        </is>
      </c>
      <c r="P1414" s="6">
        <f>HYPERLINK("https://fin.land.naver.com/articles/2654004184", "매물Link")</f>
        <v/>
      </c>
      <c r="Q1414" s="6">
        <f>HYPERLINK("https://map.naver.com/p/search/조치원읍 남리 60-8", "지도Link")</f>
        <v/>
      </c>
      <c r="R1414" s="6">
        <f>HYPERLINK("http://www.eum.go.kr/web/ar/lu/luLandDet.jsp?pnu=3611025027100600008&amp;isNoScr=script&amp;mode=search", "토지이음")</f>
        <v/>
      </c>
      <c r="S1414" s="3" t="inlineStr">
        <is>
          <t>연서으뜸</t>
        </is>
      </c>
      <c r="T1414" s="4" t="n">
        <v>1</v>
      </c>
      <c r="U1414" s="5" t="n">
        <v>400</v>
      </c>
      <c r="V1414" s="4" t="n">
        <v>514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남리 62-19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29500</v>
      </c>
      <c r="H1415" s="4" t="n">
        <v>0</v>
      </c>
      <c r="I1415" s="4" t="n">
        <v>180</v>
      </c>
      <c r="J1415" s="4" t="n">
        <v>54</v>
      </c>
      <c r="K1415" s="5" t="n">
        <v>546.3</v>
      </c>
      <c r="L1415" s="4" t="n">
        <v>163</v>
      </c>
      <c r="M1415" s="4" t="n">
        <v>49</v>
      </c>
      <c r="N1415" s="5" t="n">
        <v>602</v>
      </c>
      <c r="O1415" s="3" t="inlineStr">
        <is>
          <t>조치원시내 관공서와 버스정류장 조치원역 도보로 가능한 조용한 주택,</t>
        </is>
      </c>
      <c r="P1415" s="6">
        <f>HYPERLINK("https://fin.land.naver.com/articles/2651053326", "매물Link")</f>
        <v/>
      </c>
      <c r="Q1415" s="6">
        <f>HYPERLINK("https://map.naver.com/p/search/조치원읍 남리 62-19", "지도Link")</f>
        <v/>
      </c>
      <c r="R1415" s="6">
        <f>HYPERLINK("http://www.eum.go.kr/web/ar/lu/luLandDet.jsp?pnu=3611025027100620019&amp;isNoScr=script&amp;mode=search", "토지이음")</f>
        <v/>
      </c>
      <c r="S1415" s="3" t="inlineStr">
        <is>
          <t>담뜰</t>
        </is>
      </c>
      <c r="T1415" s="4" t="n">
        <v>1</v>
      </c>
      <c r="U1415" s="5" t="n">
        <v>178.8</v>
      </c>
      <c r="V1415" s="4" t="n">
        <v>180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세로한면(불)</t>
        </is>
      </c>
    </row>
    <row r="1416">
      <c r="A1416" s="3" t="inlineStr">
        <is>
          <t>조치원읍 남리 62-6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일반원룸</t>
        </is>
      </c>
      <c r="F1416" s="3" t="inlineStr">
        <is>
          <t>전세</t>
        </is>
      </c>
      <c r="G1416" s="4" t="n">
        <v>3700</v>
      </c>
      <c r="H1416" s="4" t="n">
        <v>0</v>
      </c>
      <c r="I1416" s="4" t="n">
        <v>39</v>
      </c>
      <c r="J1416" s="4" t="n">
        <v>12</v>
      </c>
      <c r="K1416" s="5" t="n">
        <v>308.3</v>
      </c>
      <c r="L1416" s="4" t="n">
        <v>23</v>
      </c>
      <c r="M1416" s="4" t="n">
        <v>7</v>
      </c>
      <c r="N1416" s="5" t="n">
        <v>528.6</v>
      </c>
      <c r="O1416" s="3" t="inlineStr">
        <is>
          <t>남향 안전 안뜰 안심 전세  즉시입주</t>
        </is>
      </c>
      <c r="P1416" s="6">
        <f>HYPERLINK("https://fin.land.naver.com/articles/2653977666", "매물Link")</f>
        <v/>
      </c>
      <c r="Q1416" s="6">
        <f>HYPERLINK("https://map.naver.com/p/search/조치원읍 남리 62-6", "지도Link")</f>
        <v/>
      </c>
      <c r="R1416" s="6">
        <f>HYPERLINK("http://www.eum.go.kr/web/ar/lu/luLandDet.jsp?pnu=3611025027100620006&amp;isNoScr=script&amp;mode=search",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396</v>
      </c>
      <c r="V1416" s="4" t="n">
        <v>472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세로한면(가)</t>
        </is>
      </c>
    </row>
    <row r="1417">
      <c r="A1417" s="3" t="inlineStr">
        <is>
          <t>조치원읍 남리 62-6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다가구</t>
        </is>
      </c>
      <c r="F1417" s="3" t="inlineStr">
        <is>
          <t>전세</t>
        </is>
      </c>
      <c r="G1417" s="4" t="n">
        <v>3800</v>
      </c>
      <c r="H1417" s="4" t="n">
        <v>0</v>
      </c>
      <c r="I1417" s="4" t="n">
        <v>39</v>
      </c>
      <c r="J1417" s="4" t="n">
        <v>12</v>
      </c>
      <c r="K1417" s="5" t="n">
        <v>316.7</v>
      </c>
      <c r="L1417" s="4" t="n">
        <v>26</v>
      </c>
      <c r="M1417" s="4" t="n">
        <v>8</v>
      </c>
      <c r="N1417" s="5" t="n">
        <v>475</v>
      </c>
      <c r="O1417" s="3" t="inlineStr">
        <is>
          <t>조치원역도보거리.융자없음.깔끔한전세.즉시입주</t>
        </is>
      </c>
      <c r="P1417" s="6">
        <f>HYPERLINK("https://fin.land.naver.com/articles/2651980466", "매물Link")</f>
        <v/>
      </c>
      <c r="Q1417" s="6">
        <f>HYPERLINK("https://map.naver.com/p/search/조치원읍 남리 62-6", "지도Link")</f>
        <v/>
      </c>
      <c r="R1417" s="6">
        <f>HYPERLINK("http://www.eum.go.kr/web/ar/lu/luLandDet.jsp?pnu=3611025027100620006&amp;isNoScr=script&amp;mode=search",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396</v>
      </c>
      <c r="V1417" s="4" t="n">
        <v>472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남리 62-6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전세</t>
        </is>
      </c>
      <c r="G1418" s="4" t="n">
        <v>4000</v>
      </c>
      <c r="H1418" s="4" t="n">
        <v>0</v>
      </c>
      <c r="I1418" s="4" t="n">
        <v>26</v>
      </c>
      <c r="J1418" s="4" t="n">
        <v>8</v>
      </c>
      <c r="K1418" s="5" t="n">
        <v>500</v>
      </c>
      <c r="L1418" s="4" t="n">
        <v>19</v>
      </c>
      <c r="M1418" s="4" t="n">
        <v>6</v>
      </c>
      <c r="N1418" s="5" t="n">
        <v>666.7</v>
      </c>
      <c r="O1418" s="3" t="inlineStr">
        <is>
          <t>조치원역도보5분 근저당없는 전세 풀옵션 큰방</t>
        </is>
      </c>
      <c r="P1418" s="6">
        <f>HYPERLINK("https://fin.land.naver.com/articles/2654053914", "매물Link")</f>
        <v/>
      </c>
      <c r="Q1418" s="6">
        <f>HYPERLINK("https://map.naver.com/p/search/조치원읍 남리 62-6", "지도Link")</f>
        <v/>
      </c>
      <c r="R1418" s="6">
        <f>HYPERLINK("http://www.eum.go.kr/web/ar/lu/luLandDet.jsp?pnu=3611025027100620006&amp;isNoScr=script&amp;mode=search",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396</v>
      </c>
      <c r="V1418" s="4" t="n">
        <v>472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세로한면(가)</t>
        </is>
      </c>
    </row>
    <row r="1419">
      <c r="A1419" s="3" t="inlineStr">
        <is>
          <t>조치원읍 남리 69-17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연립</t>
        </is>
      </c>
      <c r="F1419" s="3" t="inlineStr">
        <is>
          <t>매매</t>
        </is>
      </c>
      <c r="G1419" s="4" t="n">
        <v>7500</v>
      </c>
      <c r="H1419" s="4" t="n">
        <v>0</v>
      </c>
      <c r="I1419" s="4" t="n">
        <v>47</v>
      </c>
      <c r="J1419" s="4" t="n">
        <v>14</v>
      </c>
      <c r="K1419" s="5" t="n">
        <v>535.7</v>
      </c>
      <c r="L1419" s="4" t="n">
        <v>47</v>
      </c>
      <c r="M1419" s="4" t="n">
        <v>14</v>
      </c>
      <c r="N1419" s="5" t="n">
        <v>535.7</v>
      </c>
      <c r="O1419" s="3" t="inlineStr">
        <is>
          <t>남리 성당근처 빌라 2층 수리됨 협의입주입니다</t>
        </is>
      </c>
      <c r="P1419" s="6">
        <f>HYPERLINK("https://fin.land.naver.com/articles/2651708338", "매물Link")</f>
        <v/>
      </c>
      <c r="Q1419" s="6">
        <f>HYPERLINK("https://map.naver.com/p/search/조치원읍 남리 69-17", "지도Link")</f>
        <v/>
      </c>
      <c r="R1419" s="6">
        <f>HYPERLINK("http://www.eum.go.kr/web/ar/lu/luLandDet.jsp?pnu=3611025027100690017&amp;isNoScr=script&amp;mode=search",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202.1</v>
      </c>
      <c r="V1419" s="4" t="n">
        <v>140</v>
      </c>
      <c r="W1419" s="3" t="inlineStr">
        <is>
          <t>지정되지않음</t>
        </is>
      </c>
      <c r="X1419" s="3" t="inlineStr">
        <is>
          <t>다세대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세로각지(가)</t>
        </is>
      </c>
    </row>
    <row r="1420">
      <c r="A1420" s="3" t="inlineStr">
        <is>
          <t>조치원읍 명리 13-1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35</v>
      </c>
      <c r="I1420" s="4" t="n">
        <v>39</v>
      </c>
      <c r="J1420" s="4" t="n">
        <v>12</v>
      </c>
      <c r="K1420" s="5" t="n">
        <v>2.9</v>
      </c>
      <c r="L1420" s="4" t="n">
        <v>28</v>
      </c>
      <c r="M1420" s="4" t="n">
        <v>8</v>
      </c>
      <c r="N1420" s="5" t="n">
        <v>4.4</v>
      </c>
      <c r="O1420" s="3" t="inlineStr">
        <is>
          <t>넓은 원룸 엘리베이터있고 깔끔한 관리</t>
        </is>
      </c>
      <c r="P1420" s="6">
        <f>HYPERLINK("https://fin.land.naver.com/articles/2654023929", "매물Link")</f>
        <v/>
      </c>
      <c r="Q1420" s="6">
        <f>HYPERLINK("https://map.naver.com/p/search/조치원읍 명리 13-1", "지도Link")</f>
        <v/>
      </c>
      <c r="R1420" s="6">
        <f>HYPERLINK("http://www.eum.go.kr/web/ar/lu/luLandDet.jsp?pnu=3611025026100130001&amp;isNoScr=script&amp;mode=search",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270.4</v>
      </c>
      <c r="V1420" s="4" t="n">
        <v>377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14-2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48</v>
      </c>
      <c r="I1421" s="4" t="n">
        <v>65</v>
      </c>
      <c r="J1421" s="4" t="n">
        <v>20</v>
      </c>
      <c r="K1421" s="5" t="n">
        <v>2.4</v>
      </c>
      <c r="L1421" s="4" t="n">
        <v>65</v>
      </c>
      <c r="M1421" s="4" t="n">
        <v>20</v>
      </c>
      <c r="N1421" s="5" t="n">
        <v>2.4</v>
      </c>
      <c r="O1421" s="3" t="inlineStr">
        <is>
          <t>시장 근처 깨끗한 2층 월세</t>
        </is>
      </c>
      <c r="P1421" s="6">
        <f>HYPERLINK("https://fin.land.naver.com/articles/2654897678", "매물Link")</f>
        <v/>
      </c>
      <c r="Q1421" s="6">
        <f>HYPERLINK("https://map.naver.com/p/search/조치원읍 명리 14-2", "지도Link")</f>
        <v/>
      </c>
      <c r="R1421" s="6">
        <f>HYPERLINK("http://www.eum.go.kr/web/ar/lu/luLandDet.jsp?pnu=3611025026100140002&amp;isNoScr=script&amp;mode=search", "토지이음")</f>
        <v/>
      </c>
      <c r="S1421" s="3" t="inlineStr">
        <is>
          <t>KB세종</t>
        </is>
      </c>
      <c r="T1421" s="4" t="n">
        <v>1</v>
      </c>
      <c r="U1421" s="5" t="n">
        <v>184.6</v>
      </c>
      <c r="V1421" s="4" t="n">
        <v>145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세로한면(가)</t>
        </is>
      </c>
    </row>
    <row r="1422">
      <c r="A1422" s="3" t="inlineStr">
        <is>
          <t>조치원읍 명리 15-1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매매</t>
        </is>
      </c>
      <c r="G1422" s="4" t="n">
        <v>35000</v>
      </c>
      <c r="H1422" s="4" t="n">
        <v>0</v>
      </c>
      <c r="I1422" s="4" t="n">
        <v>340</v>
      </c>
      <c r="J1422" s="4" t="n">
        <v>103</v>
      </c>
      <c r="K1422" s="5" t="n">
        <v>339.8</v>
      </c>
      <c r="L1422" s="4" t="n">
        <v>76</v>
      </c>
      <c r="M1422" s="4" t="n">
        <v>23</v>
      </c>
      <c r="N1422" s="5" t="n">
        <v>1521.7</v>
      </c>
      <c r="O1422" s="3" t="inlineStr">
        <is>
          <t>명동초등학교 코너 주택</t>
        </is>
      </c>
      <c r="P1422" s="6">
        <f>HYPERLINK("https://fin.land.naver.com/articles/2651590418", "매물Link")</f>
        <v/>
      </c>
      <c r="Q1422" s="6">
        <f>HYPERLINK("https://map.naver.com/p/search/조치원읍 명리 15-1", "지도Link")</f>
        <v/>
      </c>
      <c r="R1422" s="6">
        <f>HYPERLINK("http://www.eum.go.kr/web/ar/lu/luLandDet.jsp?pnu=3611025026100150001&amp;isNoScr=script&amp;mode=search",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207.3</v>
      </c>
      <c r="V1422" s="4" t="n">
        <v>304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명리 48-3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1</t>
        </is>
      </c>
      <c r="E1423" s="3" t="inlineStr">
        <is>
          <t>단독</t>
        </is>
      </c>
      <c r="F1423" s="3" t="inlineStr">
        <is>
          <t>전세</t>
        </is>
      </c>
      <c r="G1423" s="4" t="n">
        <v>13000</v>
      </c>
      <c r="H1423" s="4" t="n">
        <v>0</v>
      </c>
      <c r="I1423" s="4" t="n">
        <v>53</v>
      </c>
      <c r="J1423" s="4" t="n">
        <v>16</v>
      </c>
      <c r="K1423" s="5" t="n">
        <v>812.5</v>
      </c>
      <c r="L1423" s="4" t="n">
        <v>53</v>
      </c>
      <c r="M1423" s="4" t="n">
        <v>16</v>
      </c>
      <c r="N1423" s="5" t="n">
        <v>812.5</v>
      </c>
      <c r="O1423" s="3" t="inlineStr">
        <is>
          <t>반전세가능 샷시까지 올리모델링 단독주택 1층 방3,거실1</t>
        </is>
      </c>
      <c r="P1423" s="6">
        <f>HYPERLINK("https://fin.land.naver.com/articles/2653790984", "매물Link")</f>
        <v/>
      </c>
      <c r="Q1423" s="6">
        <f>HYPERLINK("https://map.naver.com/p/search/조치원읍 명리 48-3", "지도Link")</f>
        <v/>
      </c>
      <c r="R1423" s="6">
        <f>HYPERLINK("http://www.eum.go.kr/web/ar/lu/luLandDet.jsp?pnu=3611025026100480003&amp;isNoScr=script&amp;mode=search", "토지이음")</f>
        <v/>
      </c>
      <c r="S1423" s="3" t="inlineStr">
        <is>
          <t>이노</t>
        </is>
      </c>
      <c r="T1423" s="4" t="n">
        <v>1</v>
      </c>
      <c r="U1423" s="5" t="n">
        <v>163.8</v>
      </c>
      <c r="V1423" s="4" t="n">
        <v>165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세로한면(불)</t>
        </is>
      </c>
    </row>
    <row r="1424">
      <c r="A1424" s="3" t="inlineStr">
        <is>
          <t>조치원읍 명리 51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단독</t>
        </is>
      </c>
      <c r="F1424" s="3" t="inlineStr">
        <is>
          <t>매매</t>
        </is>
      </c>
      <c r="G1424" s="4" t="n">
        <v>45000</v>
      </c>
      <c r="H1424" s="4" t="n">
        <v>0</v>
      </c>
      <c r="I1424" s="4" t="n">
        <v>325</v>
      </c>
      <c r="J1424" s="4" t="n">
        <v>98</v>
      </c>
      <c r="K1424" s="5" t="n">
        <v>459.2</v>
      </c>
      <c r="L1424" s="4" t="n">
        <v>218</v>
      </c>
      <c r="M1424" s="4" t="n">
        <v>66</v>
      </c>
      <c r="N1424" s="5" t="n">
        <v>681.8</v>
      </c>
      <c r="O1424" s="3" t="inlineStr">
        <is>
          <t>교통과 생활이 편리한 위치,초등학교 인근,대지 넓은 단독주택</t>
        </is>
      </c>
      <c r="P1424" s="6">
        <f>HYPERLINK("https://fin.land.naver.com/articles/2653047822", "매물Link")</f>
        <v/>
      </c>
      <c r="Q1424" s="6">
        <f>HYPERLINK("https://map.naver.com/p/search/조치원읍 명리 51", "지도Link")</f>
        <v/>
      </c>
      <c r="R1424" s="6">
        <f>HYPERLINK("http://www.eum.go.kr/web/ar/lu/luLandDet.jsp?pnu=3611025026100510000&amp;isNoScr=script&amp;mode=search", "토지이음")</f>
        <v/>
      </c>
      <c r="S1424" s="3" t="inlineStr">
        <is>
          <t>유정희</t>
        </is>
      </c>
      <c r="T1424" s="4" t="n">
        <v>1</v>
      </c>
      <c r="U1424" s="5" t="n">
        <v>223.3</v>
      </c>
      <c r="V1424" s="4" t="n">
        <v>318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부정형</t>
        </is>
      </c>
      <c r="AA1424" s="3" t="inlineStr">
        <is>
          <t>소로한면</t>
        </is>
      </c>
    </row>
    <row r="1425">
      <c r="A1425" s="3" t="inlineStr">
        <is>
          <t>조치원읍 명리 54-12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300</v>
      </c>
      <c r="H1425" s="4" t="n">
        <v>31</v>
      </c>
      <c r="I1425" s="4" t="n">
        <v>23</v>
      </c>
      <c r="J1425" s="4" t="n">
        <v>7</v>
      </c>
      <c r="K1425" s="5" t="n">
        <v>4.4</v>
      </c>
      <c r="L1425" s="4" t="n">
        <v>23</v>
      </c>
      <c r="M1425" s="4" t="n">
        <v>7</v>
      </c>
      <c r="N1425" s="5" t="n">
        <v>4.4</v>
      </c>
      <c r="O1425" s="3" t="inlineStr">
        <is>
          <t>명리 원룸 터미널인근,풀옵션,엘베유,집상태 깨끗합니다</t>
        </is>
      </c>
      <c r="P1425" s="6">
        <f>HYPERLINK("https://fin.land.naver.com/articles/2654598280", "매물Link")</f>
        <v/>
      </c>
      <c r="Q1425" s="6">
        <f>HYPERLINK("https://map.naver.com/p/search/조치원읍 명리 54-12", "지도Link")</f>
        <v/>
      </c>
      <c r="R1425" s="6">
        <f>HYPERLINK("http://www.eum.go.kr/web/ar/lu/luLandDet.jsp?pnu=3611025026100540012&amp;isNoScr=script&amp;mode=search",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230.3</v>
      </c>
      <c r="V1425" s="4" t="n">
        <v>520</v>
      </c>
      <c r="W1425" s="3" t="inlineStr">
        <is>
          <t>지정되지않음</t>
        </is>
      </c>
      <c r="X1425" s="3" t="inlineStr">
        <is>
          <t>주거기타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명리 66-2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월세</t>
        </is>
      </c>
      <c r="G1426" s="4" t="n">
        <v>1000</v>
      </c>
      <c r="H1426" s="4" t="n">
        <v>50</v>
      </c>
      <c r="I1426" s="4" t="n">
        <v>0</v>
      </c>
      <c r="J1426" s="4" t="n">
        <v>0</v>
      </c>
      <c r="K1426" s="5" t="n">
        <v>0</v>
      </c>
      <c r="L1426" s="4" t="n">
        <v>71</v>
      </c>
      <c r="M1426" s="4" t="n">
        <v>21</v>
      </c>
      <c r="N1426" s="5" t="n">
        <v>2.4</v>
      </c>
      <c r="O1426" s="3" t="inlineStr">
        <is>
          <t>남리 마을회관인근 1층 귀한 주택월세 방3개 화1</t>
        </is>
      </c>
      <c r="P1426" s="6">
        <f>HYPERLINK("https://fin.land.naver.com/articles/2652009820", "매물Link")</f>
        <v/>
      </c>
      <c r="Q1426" s="6">
        <f>HYPERLINK("https://map.naver.com/p/search/조치원읍 명리 66-2", "지도Link")</f>
        <v/>
      </c>
      <c r="R1426" s="6">
        <f>HYPERLINK("http://www.eum.go.kr/web/ar/lu/luLandDet.jsp?pnu=3611025026100660002&amp;isNoScr=script&amp;mode=search", "토지이음")</f>
        <v/>
      </c>
      <c r="S1426" s="3" t="inlineStr">
        <is>
          <t>욱일</t>
        </is>
      </c>
      <c r="T1426" s="4" t="n">
        <v>1</v>
      </c>
      <c r="U1426" s="5" t="n">
        <v>208.4</v>
      </c>
      <c r="V1426" s="4" t="n">
        <v>141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소로한면</t>
        </is>
      </c>
    </row>
    <row r="1427">
      <c r="A1427" s="3" t="inlineStr">
        <is>
          <t>조치원읍 명리 79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상가주택</t>
        </is>
      </c>
      <c r="F1427" s="3" t="inlineStr">
        <is>
          <t>매매</t>
        </is>
      </c>
      <c r="G1427" s="4" t="n">
        <v>95000</v>
      </c>
      <c r="H1427" s="4" t="n">
        <v>0</v>
      </c>
      <c r="I1427" s="4" t="n">
        <v>261</v>
      </c>
      <c r="J1427" s="4" t="n">
        <v>79</v>
      </c>
      <c r="K1427" s="5" t="n">
        <v>1202.5</v>
      </c>
      <c r="L1427" s="4" t="n">
        <v>492</v>
      </c>
      <c r="M1427" s="4" t="n">
        <v>149</v>
      </c>
      <c r="N1427" s="5" t="n">
        <v>637.6</v>
      </c>
      <c r="O1427" s="3" t="inlineStr">
        <is>
          <t>명리 코너 상가주택 1,2층 상가 3층주택</t>
        </is>
      </c>
      <c r="P1427" s="6">
        <f>HYPERLINK("https://fin.land.naver.com/articles/2654995129", "매물Link")</f>
        <v/>
      </c>
      <c r="Q1427" s="6">
        <f>HYPERLINK("https://map.naver.com/p/search/조치원읍 명리 79", "지도Link")</f>
        <v/>
      </c>
      <c r="R1427" s="6">
        <f>HYPERLINK("http://www.eum.go.kr/web/ar/lu/luLandDet.jsp?pnu=3611025026100790000&amp;isNoScr=script&amp;mode=search",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358.3</v>
      </c>
      <c r="V1427" s="4" t="n">
        <v>153</v>
      </c>
      <c r="W1427" s="3" t="inlineStr">
        <is>
          <t>지정되지않음</t>
        </is>
      </c>
      <c r="X1427" s="3" t="inlineStr">
        <is>
          <t>상업용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중로각지</t>
        </is>
      </c>
    </row>
    <row r="1428">
      <c r="A1428" s="3" t="inlineStr">
        <is>
          <t>조치원읍 번암리 110-1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상가주택</t>
        </is>
      </c>
      <c r="F1428" s="3" t="inlineStr">
        <is>
          <t>매매</t>
        </is>
      </c>
      <c r="G1428" s="4" t="n">
        <v>75000</v>
      </c>
      <c r="H1428" s="4" t="n">
        <v>0</v>
      </c>
      <c r="I1428" s="4" t="n">
        <v>328</v>
      </c>
      <c r="J1428" s="4" t="n">
        <v>99</v>
      </c>
      <c r="K1428" s="5" t="n">
        <v>757.6</v>
      </c>
      <c r="L1428" s="4" t="n">
        <v>421</v>
      </c>
      <c r="M1428" s="4" t="n">
        <v>127</v>
      </c>
      <c r="N1428" s="5" t="n">
        <v>590.6</v>
      </c>
      <c r="O1428" s="3" t="inlineStr">
        <is>
          <t>번암리 홈플러스 맞은편 6차선 접한 상가주택 저렴합니다</t>
        </is>
      </c>
      <c r="P1428" s="6">
        <f>HYPERLINK("https://fin.land.naver.com/articles/2655704717", "매물Link")</f>
        <v/>
      </c>
      <c r="Q1428" s="6">
        <f>HYPERLINK("https://map.naver.com/p/search/조치원읍 번암리 110-1", "지도Link")</f>
        <v/>
      </c>
      <c r="R1428" s="6">
        <f>HYPERLINK("http://www.eum.go.kr/web/ar/lu/luLandDet.jsp?pnu=3611025031101100001&amp;isNoScr=script&amp;mode=search",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341.8</v>
      </c>
      <c r="V1428" s="4" t="n">
        <v>349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광대로한면</t>
        </is>
      </c>
    </row>
    <row r="1429">
      <c r="A1429" s="3" t="inlineStr">
        <is>
          <t>조치원읍 번암리 128-2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82000</v>
      </c>
      <c r="H1429" s="4" t="n">
        <v>0</v>
      </c>
      <c r="I1429" s="4" t="n">
        <v>211</v>
      </c>
      <c r="J1429" s="4" t="n">
        <v>64</v>
      </c>
      <c r="K1429" s="5" t="n">
        <v>1281.2</v>
      </c>
      <c r="L1429" s="4" t="n">
        <v>380</v>
      </c>
      <c r="M1429" s="4" t="n">
        <v>115</v>
      </c>
      <c r="N1429" s="5" t="n">
        <v>713</v>
      </c>
      <c r="O1429" s="3" t="inlineStr">
        <is>
          <t>nan</t>
        </is>
      </c>
      <c r="P1429" s="6">
        <f>HYPERLINK("https://fin.land.naver.com/articles/2654393034", "매물Link")</f>
        <v/>
      </c>
      <c r="Q1429" s="6">
        <f>HYPERLINK("https://map.naver.com/p/search/조치원읍 번암리 128-2", "지도Link")</f>
        <v/>
      </c>
      <c r="R1429" s="6">
        <f>HYPERLINK("http://www.eum.go.kr/web/ar/lu/luLandDet.jsp?pnu=3611025031101280002&amp;isNoScr=script&amp;mode=search",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309.1</v>
      </c>
      <c r="V1429" s="4" t="n">
        <v>211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광대로한면</t>
        </is>
      </c>
    </row>
    <row r="1430">
      <c r="A1430" s="3" t="inlineStr">
        <is>
          <t>조치원읍 번암리 66-6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단독</t>
        </is>
      </c>
      <c r="F1430" s="3" t="inlineStr">
        <is>
          <t>매매</t>
        </is>
      </c>
      <c r="G1430" s="4" t="n">
        <v>120000</v>
      </c>
      <c r="H1430" s="4" t="n">
        <v>0</v>
      </c>
      <c r="I1430" s="4" t="n">
        <v>565</v>
      </c>
      <c r="J1430" s="4" t="n">
        <v>171</v>
      </c>
      <c r="K1430" s="5" t="n">
        <v>701.8</v>
      </c>
      <c r="L1430" s="4" t="n">
        <v>161</v>
      </c>
      <c r="M1430" s="4" t="n">
        <v>49</v>
      </c>
      <c r="N1430" s="5" t="n">
        <v>2449</v>
      </c>
      <c r="O1430" s="3" t="inlineStr">
        <is>
          <t>매매후 즉시입주가능,입지 좋고 조용한 입지</t>
        </is>
      </c>
      <c r="P1430" s="6">
        <f>HYPERLINK("https://fin.land.naver.com/articles/2655710484", "매물Link")</f>
        <v/>
      </c>
      <c r="Q1430" s="6">
        <f>HYPERLINK("https://map.naver.com/p/search/조치원읍 번암리 66-6", "지도Link")</f>
        <v/>
      </c>
      <c r="R1430" s="6">
        <f>HYPERLINK("http://www.eum.go.kr/web/ar/lu/luLandDet.jsp?pnu=3611025031100660006&amp;isNoScr=script&amp;mode=search", "토지이음")</f>
        <v/>
      </c>
      <c r="S1430" s="3" t="inlineStr">
        <is>
          <t>아이파크정문</t>
        </is>
      </c>
      <c r="T1430" s="4" t="n">
        <v>1</v>
      </c>
      <c r="U1430" s="5" t="n">
        <v>168.8</v>
      </c>
      <c r="V1430" s="4" t="n">
        <v>565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완경사</t>
        </is>
      </c>
      <c r="Z1430" s="3" t="inlineStr">
        <is>
          <t>자루형</t>
        </is>
      </c>
      <c r="AA1430" s="3" t="inlineStr">
        <is>
          <t>소로한면</t>
        </is>
      </c>
    </row>
    <row r="1431">
      <c r="A1431" s="3" t="inlineStr">
        <is>
          <t>조치원읍 번암리 69-12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30</v>
      </c>
      <c r="I1431" s="4" t="n">
        <v>0</v>
      </c>
      <c r="J1431" s="4" t="n">
        <v>0</v>
      </c>
      <c r="K1431" s="5" t="n">
        <v>0</v>
      </c>
      <c r="L1431" s="4" t="n">
        <v>26</v>
      </c>
      <c r="M1431" s="4" t="n">
        <v>8</v>
      </c>
      <c r="N1431" s="5" t="n">
        <v>3.8</v>
      </c>
      <c r="O1431" s="3" t="inlineStr">
        <is>
          <t>엘리베이터 있어요. 원 룸 분리형 구조</t>
        </is>
      </c>
      <c r="P1431" s="6">
        <f>HYPERLINK("https://fin.land.naver.com/articles/2652478073", "매물Link")</f>
        <v/>
      </c>
      <c r="Q1431" s="6">
        <f>HYPERLINK("https://map.naver.com/p/search/조치원읍 번암리 69-12", "지도Link")</f>
        <v/>
      </c>
      <c r="R1431" s="6">
        <f>HYPERLINK("http://www.eum.go.kr/web/ar/lu/luLandDet.jsp?pnu=3611025031100690012&amp;isNoScr=script&amp;mode=search", "토지이음")</f>
        <v/>
      </c>
      <c r="S1431" s="3" t="inlineStr">
        <is>
          <t>지성</t>
        </is>
      </c>
      <c r="T1431" s="4" t="n">
        <v>1</v>
      </c>
      <c r="U1431" s="5" t="n">
        <v>341.2</v>
      </c>
      <c r="V1431" s="4" t="n">
        <v>338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광대로한면</t>
        </is>
      </c>
    </row>
    <row r="1432">
      <c r="A1432" s="3" t="inlineStr">
        <is>
          <t>조치원읍 번암리 69-12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32</v>
      </c>
      <c r="I1432" s="4" t="n">
        <v>39</v>
      </c>
      <c r="J1432" s="4" t="n">
        <v>12</v>
      </c>
      <c r="K1432" s="5" t="n">
        <v>2.7</v>
      </c>
      <c r="L1432" s="4" t="n">
        <v>26</v>
      </c>
      <c r="M1432" s="4" t="n">
        <v>8</v>
      </c>
      <c r="N1432" s="5" t="n">
        <v>4</v>
      </c>
      <c r="O1432" s="3" t="inlineStr">
        <is>
          <t>번암리 아주깨끗하게 관리해주십니다</t>
        </is>
      </c>
      <c r="P1432" s="6">
        <f>HYPERLINK("https://fin.land.naver.com/articles/2653929088", "매물Link")</f>
        <v/>
      </c>
      <c r="Q1432" s="6">
        <f>HYPERLINK("https://map.naver.com/p/search/조치원읍 번암리 69-12", "지도Link")</f>
        <v/>
      </c>
      <c r="R1432" s="6">
        <f>HYPERLINK("http://www.eum.go.kr/web/ar/lu/luLandDet.jsp?pnu=3611025031100690012&amp;isNoScr=script&amp;mode=search", "토지이음")</f>
        <v/>
      </c>
      <c r="S1432" s="3" t="inlineStr">
        <is>
          <t>척척</t>
        </is>
      </c>
      <c r="T1432" s="4" t="n">
        <v>1</v>
      </c>
      <c r="U1432" s="5" t="n">
        <v>341.2</v>
      </c>
      <c r="V1432" s="4" t="n">
        <v>338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광대로한면</t>
        </is>
      </c>
    </row>
    <row r="1433">
      <c r="A1433" s="3" t="inlineStr">
        <is>
          <t>조치원읍 번암리 69-7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0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36</v>
      </c>
      <c r="I1433" s="4" t="n">
        <v>30</v>
      </c>
      <c r="J1433" s="4" t="n">
        <v>9</v>
      </c>
      <c r="K1433" s="5" t="n">
        <v>4</v>
      </c>
      <c r="L1433" s="4" t="n">
        <v>30</v>
      </c>
      <c r="M1433" s="4" t="n">
        <v>9</v>
      </c>
      <c r="N1433" s="5" t="n">
        <v>4</v>
      </c>
      <c r="O1433" s="3" t="inlineStr">
        <is>
          <t>홈플러스 앞 원룸 가격인 1.5룸, 세종 신도시 또는 오송 출퇴근 용이</t>
        </is>
      </c>
      <c r="P1433" s="6">
        <f>HYPERLINK("https://fin.land.naver.com/articles/2654460016", "매물Link")</f>
        <v/>
      </c>
      <c r="Q1433" s="6">
        <f>HYPERLINK("https://map.naver.com/p/search/조치원읍 번암리 69-7", "지도Link")</f>
        <v/>
      </c>
      <c r="R1433" s="6">
        <f>HYPERLINK("http://www.eum.go.kr/web/ar/lu/luLandDet.jsp?pnu=3611025031100690007&amp;isNoScr=script&amp;mode=search", "토지이음")</f>
        <v/>
      </c>
      <c r="S1433" s="3" t="inlineStr">
        <is>
          <t>유정희</t>
        </is>
      </c>
      <c r="T1433" s="4" t="n">
        <v>1</v>
      </c>
      <c r="U1433" s="5" t="n">
        <v>306.6</v>
      </c>
      <c r="V1433" s="4" t="n">
        <v>220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번암리 69-7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16</v>
      </c>
      <c r="J1434" s="4" t="n">
        <v>5</v>
      </c>
      <c r="K1434" s="5" t="n">
        <v>6</v>
      </c>
      <c r="L1434" s="4" t="n">
        <v>16</v>
      </c>
      <c r="M1434" s="4" t="n">
        <v>5</v>
      </c>
      <c r="N1434" s="5" t="n">
        <v>6</v>
      </c>
      <c r="O1434" s="3" t="inlineStr">
        <is>
          <t>홈플러스 앞 원룸, 세종 신도시 또는 오송으로 출퇴근 용이</t>
        </is>
      </c>
      <c r="P1434" s="6">
        <f>HYPERLINK("https://fin.land.naver.com/articles/2654459531", "매물Link")</f>
        <v/>
      </c>
      <c r="Q1434" s="6">
        <f>HYPERLINK("https://map.naver.com/p/search/조치원읍 번암리 69-7", "지도Link")</f>
        <v/>
      </c>
      <c r="R1434" s="6">
        <f>HYPERLINK("http://www.eum.go.kr/web/ar/lu/luLandDet.jsp?pnu=3611025031100690007&amp;isNoScr=script&amp;mode=search", "토지이음")</f>
        <v/>
      </c>
      <c r="S1434" s="3" t="inlineStr">
        <is>
          <t>유정희</t>
        </is>
      </c>
      <c r="T1434" s="4" t="n">
        <v>1</v>
      </c>
      <c r="U1434" s="5" t="n">
        <v>306.6</v>
      </c>
      <c r="V1434" s="4" t="n">
        <v>220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봉산리 170-9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115000</v>
      </c>
      <c r="H1435" s="4" t="n">
        <v>0</v>
      </c>
      <c r="I1435" s="4" t="n">
        <v>640</v>
      </c>
      <c r="J1435" s="4" t="n">
        <v>194</v>
      </c>
      <c r="K1435" s="5" t="n">
        <v>592.8</v>
      </c>
      <c r="L1435" s="4" t="n">
        <v>332</v>
      </c>
      <c r="M1435" s="4" t="n">
        <v>100</v>
      </c>
      <c r="N1435" s="5" t="n">
        <v>1150</v>
      </c>
      <c r="O1435" s="3" t="inlineStr">
        <is>
          <t>봉산리 1층,2층 다중주택으로 1층 리모델링 완료. 입주일 협의가능.</t>
        </is>
      </c>
      <c r="P1435" s="6">
        <f>HYPERLINK("https://fin.land.naver.com/articles/2653372676", "매물Link")</f>
        <v/>
      </c>
      <c r="Q1435" s="6">
        <f>HYPERLINK("https://map.naver.com/p/search/조치원읍 봉산리 170-9", "지도Link")</f>
        <v/>
      </c>
      <c r="R1435" s="6">
        <f>HYPERLINK("http://www.eum.go.kr/web/ar/lu/luLandDet.jsp?pnu=3611025033101700009&amp;isNoScr=script&amp;mode=search", "토지이음")</f>
        <v/>
      </c>
      <c r="S1435" s="3" t="inlineStr">
        <is>
          <t>세종대장</t>
        </is>
      </c>
      <c r="T1435" s="4" t="n">
        <v>1</v>
      </c>
      <c r="U1435" s="5" t="n">
        <v>162</v>
      </c>
      <c r="V1435" s="4" t="n">
        <v>640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부정형</t>
        </is>
      </c>
      <c r="AA1435" s="3" t="inlineStr">
        <is>
          <t>세로한면(가)</t>
        </is>
      </c>
    </row>
    <row r="1436">
      <c r="A1436" s="3" t="inlineStr">
        <is>
          <t>조치원읍 봉산리 190-11</t>
        </is>
      </c>
      <c r="B1436" s="3" t="inlineStr">
        <is>
          <t>자연녹지지역</t>
        </is>
      </c>
      <c r="C1436" s="3" t="inlineStr">
        <is>
          <t>대</t>
        </is>
      </c>
      <c r="D1436" s="3" t="inlineStr">
        <is>
          <t>1</t>
        </is>
      </c>
      <c r="E1436" s="3" t="inlineStr">
        <is>
          <t>빌라</t>
        </is>
      </c>
      <c r="F1436" s="3" t="inlineStr">
        <is>
          <t>매매</t>
        </is>
      </c>
      <c r="G1436" s="4" t="n">
        <v>4500</v>
      </c>
      <c r="H1436" s="4" t="n">
        <v>0</v>
      </c>
      <c r="I1436" s="4" t="n">
        <v>21</v>
      </c>
      <c r="J1436" s="4" t="n">
        <v>6</v>
      </c>
      <c r="K1436" s="5" t="n">
        <v>750</v>
      </c>
      <c r="L1436" s="4" t="n">
        <v>20</v>
      </c>
      <c r="M1436" s="4" t="n">
        <v>6</v>
      </c>
      <c r="N1436" s="5" t="n">
        <v>750</v>
      </c>
      <c r="O1436" s="3" t="inlineStr">
        <is>
          <t>고려대 세종캠퍼스 인근 복층형 원룸 개별 매매</t>
        </is>
      </c>
      <c r="P1436" s="6">
        <f>HYPERLINK("https://fin.land.naver.com/articles/2654309249", "매물Link")</f>
        <v/>
      </c>
      <c r="Q1436" s="6">
        <f>HYPERLINK("https://map.naver.com/p/search/조치원읍 봉산리 190-11", "지도Link")</f>
        <v/>
      </c>
      <c r="R1436" s="6">
        <f>HYPERLINK("http://www.eum.go.kr/web/ar/lu/luLandDet.jsp?pnu=3611025033101900011&amp;isNoScr=script&amp;mode=search",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168.4</v>
      </c>
      <c r="V1436" s="4" t="n">
        <v>565</v>
      </c>
      <c r="W1436" s="3" t="inlineStr">
        <is>
          <t>지정되지않음</t>
        </is>
      </c>
      <c r="X1436" s="3" t="inlineStr">
        <is>
          <t>다세대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세로한면(가)</t>
        </is>
      </c>
    </row>
    <row r="1437">
      <c r="A1437" s="3" t="inlineStr">
        <is>
          <t>조치원읍 봉산리 190-13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0</v>
      </c>
      <c r="J1437" s="4" t="n">
        <v>0</v>
      </c>
      <c r="K1437" s="5" t="n">
        <v>0</v>
      </c>
      <c r="L1437" s="4" t="n">
        <v>20</v>
      </c>
      <c r="M1437" s="4" t="n">
        <v>6</v>
      </c>
      <c r="N1437" s="5" t="n">
        <v>5</v>
      </c>
      <c r="O1437" s="3" t="inlineStr">
        <is>
          <t>인기좋은  풀옵션완비방    바로입주  주차편함   고대캠퍼스10분</t>
        </is>
      </c>
      <c r="P1437" s="6">
        <f>HYPERLINK("https://fin.land.naver.com/articles/2656259540", "매물Link")</f>
        <v/>
      </c>
      <c r="Q1437" s="6">
        <f>HYPERLINK("https://map.naver.com/p/search/조치원읍 봉산리 190-13", "지도Link")</f>
        <v/>
      </c>
      <c r="R1437" s="6">
        <f>HYPERLINK("http://www.eum.go.kr/web/ar/lu/luLandDet.jsp?pnu=3611025033101900013&amp;isNoScr=script&amp;mode=search", "토지이음")</f>
        <v/>
      </c>
      <c r="S1437" s="3" t="inlineStr">
        <is>
          <t>연서으뜸</t>
        </is>
      </c>
      <c r="T1437" s="4" t="n">
        <v>1</v>
      </c>
      <c r="U1437" s="5" t="n">
        <v>168.4</v>
      </c>
      <c r="V1437" s="4" t="n">
        <v>737</v>
      </c>
      <c r="W1437" s="3" t="inlineStr">
        <is>
          <t>지정되지않음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봉산리 190-13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도시형생활주택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15</v>
      </c>
      <c r="M1438" s="4" t="n">
        <v>5</v>
      </c>
      <c r="N1438" s="5" t="n">
        <v>6</v>
      </c>
      <c r="O1438" s="3" t="inlineStr">
        <is>
          <t>L깔끔한 오피스텔 1룸. 즉시입주가능. 뻥뷰. 단기협의</t>
        </is>
      </c>
      <c r="P1438" s="6">
        <f>HYPERLINK("https://fin.land.naver.com/articles/2655382427", "매물Link")</f>
        <v/>
      </c>
      <c r="Q1438" s="6">
        <f>HYPERLINK("https://map.naver.com/p/search/조치원읍 봉산리 190-13", "지도Link")</f>
        <v/>
      </c>
      <c r="R1438" s="6">
        <f>HYPERLINK("http://www.eum.go.kr/web/ar/lu/luLandDet.jsp?pnu=3611025033101900013&amp;isNoScr=script&amp;mode=search", "토지이음")</f>
        <v/>
      </c>
      <c r="S1438" s="3" t="inlineStr">
        <is>
          <t>바다</t>
        </is>
      </c>
      <c r="T1438" s="4" t="n">
        <v>1</v>
      </c>
      <c r="U1438" s="5" t="n">
        <v>168.4</v>
      </c>
      <c r="V1438" s="4" t="n">
        <v>737</v>
      </c>
      <c r="W1438" s="3" t="inlineStr">
        <is>
          <t>지정되지않음</t>
        </is>
      </c>
      <c r="X1438" s="3" t="inlineStr">
        <is>
          <t>다세대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세로한면(가)</t>
        </is>
      </c>
    </row>
    <row r="1439">
      <c r="A1439" s="3" t="inlineStr">
        <is>
          <t>조치원읍 상리 114-1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0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100</v>
      </c>
      <c r="H1439" s="4" t="n">
        <v>32</v>
      </c>
      <c r="I1439" s="4" t="n">
        <v>24</v>
      </c>
      <c r="J1439" s="4" t="n">
        <v>7</v>
      </c>
      <c r="K1439" s="5" t="n">
        <v>4.6</v>
      </c>
      <c r="L1439" s="4" t="n">
        <v>16</v>
      </c>
      <c r="M1439" s="4" t="n">
        <v>5</v>
      </c>
      <c r="N1439" s="5" t="n">
        <v>6.4</v>
      </c>
      <c r="O1439" s="3" t="inlineStr">
        <is>
          <t>상리 도시형생활주택.깔끔 즉시입주가능.</t>
        </is>
      </c>
      <c r="P1439" s="6">
        <f>HYPERLINK("https://fin.land.naver.com/articles/2655547274", "매물Link")</f>
        <v/>
      </c>
      <c r="Q1439" s="6">
        <f>HYPERLINK("https://map.naver.com/p/search/조치원읍 상리 114-1", "지도Link")</f>
        <v/>
      </c>
      <c r="R1439" s="6">
        <f>HYPERLINK("http://www.eum.go.kr/web/ar/lu/luLandDet.jsp?pnu=3611025022101140001&amp;isNoScr=script&amp;mode=search", "토지이음")</f>
        <v/>
      </c>
      <c r="S1439" s="3" t="inlineStr">
        <is>
          <t>이음</t>
        </is>
      </c>
      <c r="T1439" s="4" t="n">
        <v>1</v>
      </c>
      <c r="U1439" s="5" t="n">
        <v>261.3</v>
      </c>
      <c r="V1439" s="4" t="n">
        <v>532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소로한면</t>
        </is>
      </c>
    </row>
    <row r="1440">
      <c r="A1440" s="3" t="inlineStr">
        <is>
          <t>조치원읍 상리 114-1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도시형생활주택</t>
        </is>
      </c>
      <c r="F1440" s="3" t="inlineStr">
        <is>
          <t>월세</t>
        </is>
      </c>
      <c r="G1440" s="4" t="n">
        <v>100</v>
      </c>
      <c r="H1440" s="4" t="n">
        <v>32</v>
      </c>
      <c r="I1440" s="4" t="n">
        <v>24</v>
      </c>
      <c r="J1440" s="4" t="n">
        <v>7</v>
      </c>
      <c r="K1440" s="5" t="n">
        <v>4.6</v>
      </c>
      <c r="L1440" s="4" t="n">
        <v>16</v>
      </c>
      <c r="M1440" s="4" t="n">
        <v>5</v>
      </c>
      <c r="N1440" s="5" t="n">
        <v>6.4</v>
      </c>
      <c r="O1440" s="3" t="inlineStr">
        <is>
          <t>상리 조치원터미날 맞은편 깨끗하고 교통좋습니다9.8일입주가능</t>
        </is>
      </c>
      <c r="P1440" s="6">
        <f>HYPERLINK("https://fin.land.naver.com/articles/2655013156", "매물Link")</f>
        <v/>
      </c>
      <c r="Q1440" s="6">
        <f>HYPERLINK("https://map.naver.com/p/search/조치원읍 상리 114-1", "지도Link")</f>
        <v/>
      </c>
      <c r="R1440" s="6">
        <f>HYPERLINK("http://www.eum.go.kr/web/ar/lu/luLandDet.jsp?pnu=3611025022101140001&amp;isNoScr=script&amp;mode=search",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261.3</v>
      </c>
      <c r="V1440" s="4" t="n">
        <v>532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소로한면</t>
        </is>
      </c>
    </row>
    <row r="1441">
      <c r="A1441" s="3" t="inlineStr">
        <is>
          <t>조치원읍 상리 123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0</v>
      </c>
      <c r="J1441" s="4" t="n">
        <v>0</v>
      </c>
      <c r="K1441" s="5" t="n">
        <v>0</v>
      </c>
      <c r="L1441" s="4" t="n">
        <v>23</v>
      </c>
      <c r="M1441" s="4" t="n">
        <v>7</v>
      </c>
      <c r="N1441" s="5" t="n">
        <v>4.3</v>
      </c>
      <c r="O1441" s="3" t="inlineStr">
        <is>
          <t>L 시장.터미널앞, 역5분, 즉시입주가능, 특대형원룸</t>
        </is>
      </c>
      <c r="P1441" s="6">
        <f>HYPERLINK("https://fin.land.naver.com/articles/2651114568", "매물Link")</f>
        <v/>
      </c>
      <c r="Q1441" s="6">
        <f>HYPERLINK("https://map.naver.com/p/search/조치원읍 상리 123", "지도Link")</f>
        <v/>
      </c>
      <c r="R1441" s="6">
        <f>HYPERLINK("http://www.eum.go.kr/web/ar/lu/luLandDet.jsp?pnu=3611025022101230000&amp;isNoScr=script&amp;mode=search", "토지이음")</f>
        <v/>
      </c>
      <c r="S1441" s="3" t="inlineStr">
        <is>
          <t>바다</t>
        </is>
      </c>
      <c r="T1441" s="4" t="n">
        <v>1</v>
      </c>
      <c r="U1441" s="5" t="n">
        <v>280</v>
      </c>
      <c r="V1441" s="4" t="n">
        <v>236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상리 124-2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39</v>
      </c>
      <c r="J1442" s="4" t="n">
        <v>12</v>
      </c>
      <c r="K1442" s="5" t="n">
        <v>2.5</v>
      </c>
      <c r="L1442" s="4" t="n">
        <v>26</v>
      </c>
      <c r="M1442" s="4" t="n">
        <v>8</v>
      </c>
      <c r="N1442" s="5" t="n">
        <v>3.8</v>
      </c>
      <c r="O1442" s="3" t="inlineStr">
        <is>
          <t>터미널 근처.배란다가 아주큰 전망좋은 집.즉시입주 가능</t>
        </is>
      </c>
      <c r="P1442" s="6">
        <f>HYPERLINK("https://fin.land.naver.com/articles/2652312867", "매물Link")</f>
        <v/>
      </c>
      <c r="Q1442" s="6">
        <f>HYPERLINK("https://map.naver.com/p/search/조치원읍 상리 124-2", "지도Link")</f>
        <v/>
      </c>
      <c r="R1442" s="6">
        <f>HYPERLINK("http://www.eum.go.kr/web/ar/lu/luLandDet.jsp?pnu=3611025022101240002&amp;isNoScr=script&amp;mode=search",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240.7</v>
      </c>
      <c r="V1442" s="4" t="n">
        <v>348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세로한면(불)</t>
        </is>
      </c>
    </row>
    <row r="1443">
      <c r="A1443" s="3" t="inlineStr">
        <is>
          <t>조치원읍 상리 124-2</t>
        </is>
      </c>
      <c r="B1443" s="3" t="inlineStr">
        <is>
          <t>준주거지역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39</v>
      </c>
      <c r="J1443" s="4" t="n">
        <v>12</v>
      </c>
      <c r="K1443" s="5" t="n">
        <v>2.5</v>
      </c>
      <c r="L1443" s="4" t="n">
        <v>26</v>
      </c>
      <c r="M1443" s="4" t="n">
        <v>8</v>
      </c>
      <c r="N1443" s="5" t="n">
        <v>3.8</v>
      </c>
      <c r="O1443" s="3" t="inlineStr">
        <is>
          <t>터미널 근처.예쁜룸.즉시입주 가능</t>
        </is>
      </c>
      <c r="P1443" s="6">
        <f>HYPERLINK("https://fin.land.naver.com/articles/2652314109", "매물Link")</f>
        <v/>
      </c>
      <c r="Q1443" s="6">
        <f>HYPERLINK("https://map.naver.com/p/search/조치원읍 상리 124-2", "지도Link")</f>
        <v/>
      </c>
      <c r="R1443" s="6">
        <f>HYPERLINK("http://www.eum.go.kr/web/ar/lu/luLandDet.jsp?pnu=3611025022101240002&amp;isNoScr=script&amp;mode=search", "토지이음")</f>
        <v/>
      </c>
      <c r="S1443" s="3" t="inlineStr">
        <is>
          <t>척척</t>
        </is>
      </c>
      <c r="T1443" s="4" t="n">
        <v>1</v>
      </c>
      <c r="U1443" s="5" t="n">
        <v>240.7</v>
      </c>
      <c r="V1443" s="4" t="n">
        <v>348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가로장방</t>
        </is>
      </c>
      <c r="AA1443" s="3" t="inlineStr">
        <is>
          <t>세로한면(불)</t>
        </is>
      </c>
    </row>
    <row r="1444">
      <c r="A1444" s="3" t="inlineStr">
        <is>
          <t>조치원읍 상리 124-2</t>
        </is>
      </c>
      <c r="B1444" s="3" t="inlineStr">
        <is>
          <t>준주거지역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25</v>
      </c>
      <c r="J1444" s="4" t="n">
        <v>8</v>
      </c>
      <c r="K1444" s="5" t="n">
        <v>3.8</v>
      </c>
      <c r="L1444" s="4" t="n">
        <v>18</v>
      </c>
      <c r="M1444" s="4" t="n">
        <v>5</v>
      </c>
      <c r="N1444" s="5" t="n">
        <v>6</v>
      </c>
      <c r="O1444" s="3" t="inlineStr">
        <is>
          <t>상리 터미날 맞은편 상태 깨끗함 즉시입주 가능합니다</t>
        </is>
      </c>
      <c r="P1444" s="6">
        <f>HYPERLINK("https://fin.land.naver.com/articles/2653431981", "매물Link")</f>
        <v/>
      </c>
      <c r="Q1444" s="6">
        <f>HYPERLINK("https://map.naver.com/p/search/조치원읍 상리 124-2", "지도Link")</f>
        <v/>
      </c>
      <c r="R1444" s="6">
        <f>HYPERLINK("http://www.eum.go.kr/web/ar/lu/luLandDet.jsp?pnu=3611025022101240002&amp;isNoScr=script&amp;mode=search", "토지이음")</f>
        <v/>
      </c>
      <c r="S1444" s="3" t="inlineStr">
        <is>
          <t>OK수</t>
        </is>
      </c>
      <c r="T1444" s="4" t="n">
        <v>1</v>
      </c>
      <c r="U1444" s="5" t="n">
        <v>240.7</v>
      </c>
      <c r="V1444" s="4" t="n">
        <v>348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세로한면(불)</t>
        </is>
      </c>
    </row>
    <row r="1445">
      <c r="A1445" s="3" t="inlineStr">
        <is>
          <t>조치원읍 상리 132-1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상가주택</t>
        </is>
      </c>
      <c r="F1445" s="3" t="inlineStr">
        <is>
          <t>매매</t>
        </is>
      </c>
      <c r="G1445" s="4" t="n">
        <v>65000</v>
      </c>
      <c r="H1445" s="4" t="n">
        <v>0</v>
      </c>
      <c r="I1445" s="4" t="n">
        <v>116</v>
      </c>
      <c r="J1445" s="4" t="n">
        <v>35</v>
      </c>
      <c r="K1445" s="5" t="n">
        <v>1857.1</v>
      </c>
      <c r="L1445" s="4" t="n">
        <v>184</v>
      </c>
      <c r="M1445" s="4" t="n">
        <v>56</v>
      </c>
      <c r="N1445" s="5" t="n">
        <v>1160.7</v>
      </c>
      <c r="O1445" s="3" t="inlineStr">
        <is>
          <t>상리 세종문화원 맞은편 2차선 접한 전면 넓은 상가 광고효과 좋음</t>
        </is>
      </c>
      <c r="P1445" s="6">
        <f>HYPERLINK("https://fin.land.naver.com/articles/2651593382", "매물Link")</f>
        <v/>
      </c>
      <c r="Q1445" s="6">
        <f>HYPERLINK("https://map.naver.com/p/search/조치원읍 상리 132-1", "지도Link")</f>
        <v/>
      </c>
      <c r="R1445" s="6">
        <f>HYPERLINK("http://www.eum.go.kr/web/ar/lu/luLandDet.jsp?pnu=3611025022101320001&amp;isNoScr=script&amp;mode=search",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640.7</v>
      </c>
      <c r="V1445" s="4" t="n">
        <v>116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가로장방</t>
        </is>
      </c>
      <c r="AA1445" s="3" t="inlineStr">
        <is>
          <t>중로한면</t>
        </is>
      </c>
    </row>
    <row r="1446">
      <c r="A1446" s="3" t="inlineStr">
        <is>
          <t>조치원읍 상리 59-1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1000</v>
      </c>
      <c r="H1446" s="4" t="n">
        <v>65</v>
      </c>
      <c r="I1446" s="4" t="n">
        <v>56</v>
      </c>
      <c r="J1446" s="4" t="n">
        <v>17</v>
      </c>
      <c r="K1446" s="5" t="n">
        <v>3.8</v>
      </c>
      <c r="L1446" s="4" t="n">
        <v>56</v>
      </c>
      <c r="M1446" s="4" t="n">
        <v>17</v>
      </c>
      <c r="N1446" s="5" t="n">
        <v>3.8</v>
      </c>
      <c r="O1446" s="3" t="inlineStr">
        <is>
          <t>명동초 뒤 귀한 풀옵션 깨끗한 투룸. 공실로 즉시입주. 관리비 없음.</t>
        </is>
      </c>
      <c r="P1446" s="6">
        <f>HYPERLINK("https://fin.land.naver.com/articles/2651216985", "매물Link")</f>
        <v/>
      </c>
      <c r="Q1446" s="6">
        <f>HYPERLINK("https://map.naver.com/p/search/조치원읍 상리 59-1", "지도Link")</f>
        <v/>
      </c>
      <c r="R1446" s="6">
        <f>HYPERLINK("http://www.eum.go.kr/web/ar/lu/luLandDet.jsp?pnu=3611025022100590001&amp;isNoScr=script&amp;mode=search", "토지이음")</f>
        <v/>
      </c>
      <c r="S1446" s="3" t="inlineStr">
        <is>
          <t>세종대장</t>
        </is>
      </c>
      <c r="T1446" s="4" t="n">
        <v>1</v>
      </c>
      <c r="U1446" s="5" t="n">
        <v>207.1</v>
      </c>
      <c r="V1446" s="4" t="n">
        <v>210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부정형</t>
        </is>
      </c>
      <c r="AA1446" s="3" t="inlineStr">
        <is>
          <t>소로각지</t>
        </is>
      </c>
    </row>
    <row r="1447">
      <c r="A1447" s="3" t="inlineStr">
        <is>
          <t>조치원읍 상리 59-1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82000</v>
      </c>
      <c r="H1447" s="4" t="n">
        <v>0</v>
      </c>
      <c r="I1447" s="4" t="n">
        <v>210</v>
      </c>
      <c r="J1447" s="4" t="n">
        <v>64</v>
      </c>
      <c r="K1447" s="5" t="n">
        <v>1281.2</v>
      </c>
      <c r="L1447" s="4" t="n">
        <v>305</v>
      </c>
      <c r="M1447" s="4" t="n">
        <v>92</v>
      </c>
      <c r="N1447" s="5" t="n">
        <v>891.3</v>
      </c>
      <c r="O1447" s="3" t="inlineStr">
        <is>
          <t>상리 상생마을 옆 교통좋고 잘 지어진 다가구주택 매매.</t>
        </is>
      </c>
      <c r="P1447" s="6">
        <f>HYPERLINK("https://fin.land.naver.com/articles/2654115455", "매물Link")</f>
        <v/>
      </c>
      <c r="Q1447" s="6">
        <f>HYPERLINK("https://map.naver.com/p/search/조치원읍 상리 59-1", "지도Link")</f>
        <v/>
      </c>
      <c r="R1447" s="6">
        <f>HYPERLINK("http://www.eum.go.kr/web/ar/lu/luLandDet.jsp?pnu=3611025022100590001&amp;isNoScr=script&amp;mode=search", "토지이음")</f>
        <v/>
      </c>
      <c r="S1447" s="3" t="inlineStr">
        <is>
          <t>세종대장</t>
        </is>
      </c>
      <c r="T1447" s="4" t="n">
        <v>1</v>
      </c>
      <c r="U1447" s="5" t="n">
        <v>207.1</v>
      </c>
      <c r="V1447" s="4" t="n">
        <v>210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소로각지</t>
        </is>
      </c>
    </row>
    <row r="1448">
      <c r="A1448" s="3" t="inlineStr">
        <is>
          <t>조치원읍 상리 67-9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단독</t>
        </is>
      </c>
      <c r="F1448" s="3" t="inlineStr">
        <is>
          <t>월세</t>
        </is>
      </c>
      <c r="G1448" s="4" t="n">
        <v>200</v>
      </c>
      <c r="H1448" s="4" t="n">
        <v>25</v>
      </c>
      <c r="I1448" s="4" t="n">
        <v>19</v>
      </c>
      <c r="J1448" s="4" t="n">
        <v>6</v>
      </c>
      <c r="K1448" s="5" t="n">
        <v>4.2</v>
      </c>
      <c r="L1448" s="4" t="n">
        <v>19</v>
      </c>
      <c r="M1448" s="4" t="n">
        <v>6</v>
      </c>
      <c r="N1448" s="5" t="n">
        <v>4.2</v>
      </c>
      <c r="O1448" s="3" t="inlineStr">
        <is>
          <t>조치원읍 상리 단독주택 2층 월세</t>
        </is>
      </c>
      <c r="P1448" s="6">
        <f>HYPERLINK("https://fin.land.naver.com/articles/2652494086", "매물Link")</f>
        <v/>
      </c>
      <c r="Q1448" s="6">
        <f>HYPERLINK("https://map.naver.com/p/search/조치원읍 상리 67-9", "지도Link")</f>
        <v/>
      </c>
      <c r="R1448" s="6">
        <f>HYPERLINK("http://www.eum.go.kr/web/ar/lu/luLandDet.jsp?pnu=3611025022100670009&amp;isNoScr=script&amp;mode=search", "토지이음")</f>
        <v/>
      </c>
      <c r="S1448" s="3" t="inlineStr">
        <is>
          <t>동원</t>
        </is>
      </c>
      <c r="T1448" s="4" t="n">
        <v>1</v>
      </c>
      <c r="U1448" s="5" t="n">
        <v>154</v>
      </c>
      <c r="V1448" s="4" t="n">
        <v>201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세로한면(불)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6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26</v>
      </c>
      <c r="J1449" s="4" t="n">
        <v>8</v>
      </c>
      <c r="K1449" s="5" t="n">
        <v>4.6</v>
      </c>
      <c r="L1449" s="4" t="n">
        <v>18</v>
      </c>
      <c r="M1449" s="4" t="n">
        <v>5</v>
      </c>
      <c r="N1449" s="5" t="n">
        <v>7.4</v>
      </c>
      <c r="O1449" s="3" t="inlineStr">
        <is>
          <t>상리 터미널인근 깨끗한 원룸</t>
        </is>
      </c>
      <c r="P1449" s="6">
        <f>HYPERLINK("https://fin.land.naver.com/articles/2652419757",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상리 79-3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0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300</v>
      </c>
      <c r="H1450" s="4" t="n">
        <v>36</v>
      </c>
      <c r="I1450" s="4" t="n">
        <v>30</v>
      </c>
      <c r="J1450" s="4" t="n">
        <v>9</v>
      </c>
      <c r="K1450" s="5" t="n">
        <v>4</v>
      </c>
      <c r="L1450" s="4" t="n">
        <v>20</v>
      </c>
      <c r="M1450" s="4" t="n">
        <v>6</v>
      </c>
      <c r="N1450" s="5" t="n">
        <v>6</v>
      </c>
      <c r="O1450" s="3" t="inlineStr">
        <is>
          <t>깨끗한원룸.실사진.보안철저.주차시설완비</t>
        </is>
      </c>
      <c r="P1450" s="6">
        <f>HYPERLINK("https://fin.land.naver.com/articles/2651069563", "매물Link")</f>
        <v/>
      </c>
      <c r="Q1450" s="6">
        <f>HYPERLINK("https://map.naver.com/p/search/조치원읍 상리 79-3", "지도Link")</f>
        <v/>
      </c>
      <c r="R1450" s="6">
        <f>HYPERLINK("http://www.eum.go.kr/web/ar/lu/luLandDet.jsp?pnu=3611025022100790003&amp;isNoScr=script&amp;mode=search",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318.4</v>
      </c>
      <c r="V1450" s="4" t="n">
        <v>465</v>
      </c>
      <c r="W1450" s="3" t="inlineStr">
        <is>
          <t>지정되지않음</t>
        </is>
      </c>
      <c r="X1450" s="3" t="inlineStr">
        <is>
          <t>주상기타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소로한면</t>
        </is>
      </c>
    </row>
    <row r="1451">
      <c r="A1451" s="3" t="inlineStr">
        <is>
          <t>조치원읍 상리 79-3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7</t>
        </is>
      </c>
      <c r="E1451" s="3" t="inlineStr">
        <is>
          <t>일반원룸</t>
        </is>
      </c>
      <c r="F1451" s="3" t="inlineStr">
        <is>
          <t>전세</t>
        </is>
      </c>
      <c r="G1451" s="4" t="n">
        <v>4200</v>
      </c>
      <c r="H1451" s="4" t="n">
        <v>0</v>
      </c>
      <c r="I1451" s="4" t="n">
        <v>30</v>
      </c>
      <c r="J1451" s="4" t="n">
        <v>9</v>
      </c>
      <c r="K1451" s="5" t="n">
        <v>466.7</v>
      </c>
      <c r="L1451" s="4" t="n">
        <v>20</v>
      </c>
      <c r="M1451" s="4" t="n">
        <v>6</v>
      </c>
      <c r="N1451" s="5" t="n">
        <v>700</v>
      </c>
      <c r="O1451" s="3" t="inlineStr">
        <is>
          <t>깨끗한원룸.넓은방.협의입주가능.보안철저.주차시설완비</t>
        </is>
      </c>
      <c r="P1451" s="6">
        <f>HYPERLINK("https://fin.land.naver.com/articles/2651544463", "매물Link")</f>
        <v/>
      </c>
      <c r="Q1451" s="6">
        <f>HYPERLINK("https://map.naver.com/p/search/조치원읍 상리 79-3", "지도Link")</f>
        <v/>
      </c>
      <c r="R1451" s="6">
        <f>HYPERLINK("http://www.eum.go.kr/web/ar/lu/luLandDet.jsp?pnu=3611025022100790003&amp;isNoScr=script&amp;mode=search",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318.4</v>
      </c>
      <c r="V1451" s="4" t="n">
        <v>465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소로한면</t>
        </is>
      </c>
    </row>
    <row r="1452">
      <c r="A1452" s="3" t="inlineStr">
        <is>
          <t>조치원읍 상리 79-3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300</v>
      </c>
      <c r="H1452" s="4" t="n">
        <v>37</v>
      </c>
      <c r="I1452" s="4" t="n">
        <v>0</v>
      </c>
      <c r="J1452" s="4" t="n">
        <v>0</v>
      </c>
      <c r="K1452" s="5" t="n">
        <v>0</v>
      </c>
      <c r="L1452" s="4" t="n">
        <v>20</v>
      </c>
      <c r="M1452" s="4" t="n">
        <v>6</v>
      </c>
      <c r="N1452" s="5" t="n">
        <v>6.2</v>
      </c>
      <c r="O1452" s="3" t="inlineStr">
        <is>
          <t>인기좋은  풀옵션완비방   깔끔한 주거공간   바로입주  주차편함</t>
        </is>
      </c>
      <c r="P1452" s="6">
        <f>HYPERLINK("https://fin.land.naver.com/articles/2655336359", "매물Link")</f>
        <v/>
      </c>
      <c r="Q1452" s="6">
        <f>HYPERLINK("https://map.naver.com/p/search/조치원읍 상리 79-3", "지도Link")</f>
        <v/>
      </c>
      <c r="R1452" s="6">
        <f>HYPERLINK("http://www.eum.go.kr/web/ar/lu/luLandDet.jsp?pnu=3611025022100790003&amp;isNoScr=script&amp;mode=search", "토지이음")</f>
        <v/>
      </c>
      <c r="S1452" s="3" t="inlineStr">
        <is>
          <t>연서으뜸</t>
        </is>
      </c>
      <c r="T1452" s="4" t="n">
        <v>1</v>
      </c>
      <c r="U1452" s="5" t="n">
        <v>318.4</v>
      </c>
      <c r="V1452" s="4" t="n">
        <v>465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상리 79-3</t>
        </is>
      </c>
      <c r="B1453" s="3" t="inlineStr">
        <is>
          <t>일반상업지역</t>
        </is>
      </c>
      <c r="C1453" s="3" t="inlineStr">
        <is>
          <t>대</t>
        </is>
      </c>
      <c r="D1453" s="3" t="inlineStr">
        <is>
          <t>5</t>
        </is>
      </c>
      <c r="E1453" s="3" t="inlineStr">
        <is>
          <t>도시형생활주택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26</v>
      </c>
      <c r="J1453" s="4" t="n">
        <v>8</v>
      </c>
      <c r="K1453" s="5" t="n">
        <v>525</v>
      </c>
      <c r="L1453" s="4" t="n">
        <v>18</v>
      </c>
      <c r="M1453" s="4" t="n">
        <v>5</v>
      </c>
      <c r="N1453" s="5" t="n">
        <v>840</v>
      </c>
      <c r="O1453" s="3" t="inlineStr">
        <is>
          <t>풀옵션 깔끔한 도시형생활주택 무융자조건</t>
        </is>
      </c>
      <c r="P1453" s="6">
        <f>HYPERLINK("https://fin.land.naver.com/articles/2656250950", "매물Link")</f>
        <v/>
      </c>
      <c r="Q1453" s="6">
        <f>HYPERLINK("https://map.naver.com/p/search/조치원읍 상리 79-3", "지도Link")</f>
        <v/>
      </c>
      <c r="R1453" s="6">
        <f>HYPERLINK("http://www.eum.go.kr/web/ar/lu/luLandDet.jsp?pnu=3611025022100790003&amp;isNoScr=script&amp;mode=search", "토지이음")</f>
        <v/>
      </c>
      <c r="S1453" s="3" t="inlineStr">
        <is>
          <t>용죽부자</t>
        </is>
      </c>
      <c r="T1453" s="4" t="n">
        <v>1</v>
      </c>
      <c r="U1453" s="5" t="n">
        <v>318.4</v>
      </c>
      <c r="V1453" s="4" t="n">
        <v>465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상리 79-3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0</t>
        </is>
      </c>
      <c r="E1454" s="3" t="inlineStr">
        <is>
          <t>도시형생활주택</t>
        </is>
      </c>
      <c r="F1454" s="3" t="inlineStr">
        <is>
          <t>월세</t>
        </is>
      </c>
      <c r="G1454" s="4" t="n">
        <v>4500</v>
      </c>
      <c r="H1454" s="4" t="n">
        <v>12</v>
      </c>
      <c r="I1454" s="4" t="n">
        <v>0</v>
      </c>
      <c r="J1454" s="4" t="n">
        <v>0</v>
      </c>
      <c r="K1454" s="5" t="n">
        <v>0</v>
      </c>
      <c r="L1454" s="4" t="n">
        <v>18</v>
      </c>
      <c r="M1454" s="4" t="n">
        <v>5</v>
      </c>
      <c r="N1454" s="5" t="n">
        <v>2.4</v>
      </c>
      <c r="O1454" s="3" t="inlineStr">
        <is>
          <t>L 즉시입주가능  O엘베 O정남향 O역10분내</t>
        </is>
      </c>
      <c r="P1454" s="6">
        <f>HYPERLINK("https://fin.land.naver.com/articles/2654721854", "매물Link")</f>
        <v/>
      </c>
      <c r="Q1454" s="6">
        <f>HYPERLINK("https://map.naver.com/p/search/조치원읍 상리 79-3", "지도Link")</f>
        <v/>
      </c>
      <c r="R1454" s="6">
        <f>HYPERLINK("http://www.eum.go.kr/web/ar/lu/luLandDet.jsp?pnu=3611025022100790003&amp;isNoScr=script&amp;mode=search", "토지이음")</f>
        <v/>
      </c>
      <c r="S1454" s="3" t="inlineStr">
        <is>
          <t>바다</t>
        </is>
      </c>
      <c r="T1454" s="4" t="n">
        <v>1</v>
      </c>
      <c r="U1454" s="5" t="n">
        <v>318.4</v>
      </c>
      <c r="V1454" s="4" t="n">
        <v>465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131-1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62000</v>
      </c>
      <c r="H1455" s="4" t="n">
        <v>0</v>
      </c>
      <c r="I1455" s="4" t="n">
        <v>184</v>
      </c>
      <c r="J1455" s="4" t="n">
        <v>56</v>
      </c>
      <c r="K1455" s="5" t="n">
        <v>1107.1</v>
      </c>
      <c r="L1455" s="4" t="n">
        <v>294</v>
      </c>
      <c r="M1455" s="4" t="n">
        <v>89</v>
      </c>
      <c r="N1455" s="5" t="n">
        <v>696.6</v>
      </c>
      <c r="O1455" s="3" t="inlineStr">
        <is>
          <t>nan</t>
        </is>
      </c>
      <c r="P1455" s="6">
        <f>HYPERLINK("https://fin.land.naver.com/articles/2654392771", "매물Link")</f>
        <v/>
      </c>
      <c r="Q1455" s="6">
        <f>HYPERLINK("https://map.naver.com/p/search/조치원읍 서창리 131-1", "지도Link")</f>
        <v/>
      </c>
      <c r="R1455" s="6">
        <f>HYPERLINK("http://www.eum.go.kr/web/ar/lu/luLandDet.jsp?pnu=3611025034101310001&amp;isNoScr=script&amp;mode=search",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276.7</v>
      </c>
      <c r="V1455" s="4" t="n">
        <v>177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소로각지</t>
        </is>
      </c>
    </row>
    <row r="1456">
      <c r="A1456" s="3" t="inlineStr">
        <is>
          <t>조치원읍 서창리 132-7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단독</t>
        </is>
      </c>
      <c r="F1456" s="3" t="inlineStr">
        <is>
          <t>매매</t>
        </is>
      </c>
      <c r="G1456" s="4" t="n">
        <v>70000</v>
      </c>
      <c r="H1456" s="4" t="n">
        <v>0</v>
      </c>
      <c r="I1456" s="4" t="n">
        <v>204</v>
      </c>
      <c r="J1456" s="4" t="n">
        <v>62</v>
      </c>
      <c r="K1456" s="5" t="n">
        <v>1129</v>
      </c>
      <c r="L1456" s="4" t="n">
        <v>323</v>
      </c>
      <c r="M1456" s="4" t="n">
        <v>98</v>
      </c>
      <c r="N1456" s="5" t="n">
        <v>714.3</v>
      </c>
      <c r="O1456" s="3" t="inlineStr">
        <is>
          <t>대학가 원룸 통매매</t>
        </is>
      </c>
      <c r="P1456" s="6">
        <f>HYPERLINK("https://fin.land.naver.com/articles/2654217651", "매물Link")</f>
        <v/>
      </c>
      <c r="Q1456" s="6">
        <f>HYPERLINK("https://map.naver.com/p/search/조치원읍 서창리 132-7", "지도Link")</f>
        <v/>
      </c>
      <c r="R1456" s="6">
        <f>HYPERLINK("http://www.eum.go.kr/web/ar/lu/luLandDet.jsp?pnu=3611025034101320007&amp;isNoScr=script&amp;mode=search", "토지이음")</f>
        <v/>
      </c>
      <c r="S1456" s="3" t="inlineStr">
        <is>
          <t>고래</t>
        </is>
      </c>
      <c r="T1456" s="4" t="n">
        <v>1</v>
      </c>
      <c r="U1456" s="5" t="n">
        <v>271.1</v>
      </c>
      <c r="V1456" s="4" t="n">
        <v>204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소로한면</t>
        </is>
      </c>
    </row>
    <row r="1457">
      <c r="A1457" s="3" t="inlineStr">
        <is>
          <t>조치원읍 서창리 133-1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다가구</t>
        </is>
      </c>
      <c r="F1457" s="3" t="inlineStr">
        <is>
          <t>매매</t>
        </is>
      </c>
      <c r="G1457" s="4" t="n">
        <v>110000</v>
      </c>
      <c r="H1457" s="4" t="n">
        <v>0</v>
      </c>
      <c r="I1457" s="4" t="n">
        <v>430</v>
      </c>
      <c r="J1457" s="4" t="n">
        <v>130</v>
      </c>
      <c r="K1457" s="5" t="n">
        <v>846.2</v>
      </c>
      <c r="L1457" s="4" t="n">
        <v>628</v>
      </c>
      <c r="M1457" s="4" t="n">
        <v>190</v>
      </c>
      <c r="N1457" s="5" t="n">
        <v>578.9</v>
      </c>
      <c r="O1457" s="3" t="inlineStr">
        <is>
          <t>건물통매매 깔끔 관리잘된집 연세안정적인수입 수익률최고 급매조정해드림</t>
        </is>
      </c>
      <c r="P1457" s="6">
        <f>HYPERLINK("https://fin.land.naver.com/articles/2651330727", "매물Link")</f>
        <v/>
      </c>
      <c r="Q1457" s="6">
        <f>HYPERLINK("https://map.naver.com/p/search/조치원읍 서창리 133-1", "지도Link")</f>
        <v/>
      </c>
      <c r="R1457" s="6">
        <f>HYPERLINK("http://www.eum.go.kr/web/ar/lu/luLandDet.jsp?pnu=3611025034101330001&amp;isNoScr=script&amp;mode=search", "토지이음")</f>
        <v/>
      </c>
      <c r="S1457" s="3" t="inlineStr">
        <is>
          <t>금성</t>
        </is>
      </c>
      <c r="T1457" s="4" t="n">
        <v>1</v>
      </c>
      <c r="U1457" s="5" t="n">
        <v>251.3</v>
      </c>
      <c r="V1457" s="4" t="n">
        <v>430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소로한면</t>
        </is>
      </c>
    </row>
    <row r="1458">
      <c r="A1458" s="3" t="inlineStr">
        <is>
          <t>조치원읍 서창리 133-25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다가구</t>
        </is>
      </c>
      <c r="F1458" s="3" t="inlineStr">
        <is>
          <t>매매</t>
        </is>
      </c>
      <c r="G1458" s="4" t="n">
        <v>67000</v>
      </c>
      <c r="H1458" s="4" t="n">
        <v>0</v>
      </c>
      <c r="I1458" s="4" t="n">
        <v>507</v>
      </c>
      <c r="J1458" s="4" t="n">
        <v>153</v>
      </c>
      <c r="K1458" s="5" t="n">
        <v>437.9</v>
      </c>
      <c r="L1458" s="4" t="n">
        <v>495</v>
      </c>
      <c r="M1458" s="4" t="n">
        <v>150</v>
      </c>
      <c r="N1458" s="5" t="n">
        <v>446.7</v>
      </c>
      <c r="O1458" s="3" t="inlineStr">
        <is>
          <t>최고 수익률 연세받는 원룸건물 고려대 세종캠퍼스 부근공실없음.</t>
        </is>
      </c>
      <c r="P1458" s="6">
        <f>HYPERLINK("https://fin.land.naver.com/articles/2653540941", "매물Link")</f>
        <v/>
      </c>
      <c r="Q1458" s="6">
        <f>HYPERLINK("https://map.naver.com/p/search/조치원읍 서창리 133-25", "지도Link")</f>
        <v/>
      </c>
      <c r="R1458" s="6">
        <f>HYPERLINK("http://www.eum.go.kr/web/ar/lu/luLandDet.jsp?pnu=3611025034101330025&amp;isNoScr=script&amp;mode=search", "토지이음")</f>
        <v/>
      </c>
      <c r="S1458" s="3" t="inlineStr">
        <is>
          <t>더나은</t>
        </is>
      </c>
      <c r="T1458" s="4" t="n">
        <v>1</v>
      </c>
      <c r="U1458" s="5" t="n">
        <v>236.2</v>
      </c>
      <c r="V1458" s="4" t="n">
        <v>507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소로한면</t>
        </is>
      </c>
    </row>
    <row r="1459">
      <c r="A1459" s="3" t="inlineStr">
        <is>
          <t>조치원읍 서창리 133-28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52000</v>
      </c>
      <c r="H1459" s="4" t="n">
        <v>0</v>
      </c>
      <c r="I1459" s="4" t="n">
        <v>233</v>
      </c>
      <c r="J1459" s="4" t="n">
        <v>70</v>
      </c>
      <c r="K1459" s="5" t="n">
        <v>742.9</v>
      </c>
      <c r="L1459" s="4" t="n">
        <v>312</v>
      </c>
      <c r="M1459" s="4" t="n">
        <v>94</v>
      </c>
      <c r="N1459" s="5" t="n">
        <v>553.2</v>
      </c>
      <c r="O1459" s="3" t="inlineStr">
        <is>
          <t>nan</t>
        </is>
      </c>
      <c r="P1459" s="6">
        <f>HYPERLINK("https://fin.land.naver.com/articles/2654392066", "매물Link")</f>
        <v/>
      </c>
      <c r="Q1459" s="6">
        <f>HYPERLINK("https://map.naver.com/p/search/조치원읍 서창리 133-28", "지도Link")</f>
        <v/>
      </c>
      <c r="R1459" s="6">
        <f>HYPERLINK("http://www.eum.go.kr/web/ar/lu/luLandDet.jsp?pnu=3611025034101330028&amp;isNoScr=script&amp;mode=search",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243.7</v>
      </c>
      <c r="V1459" s="4" t="n">
        <v>233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소로한면</t>
        </is>
      </c>
    </row>
    <row r="1460">
      <c r="A1460" s="3" t="inlineStr">
        <is>
          <t>조치원읍 서창리 140-26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빌라</t>
        </is>
      </c>
      <c r="F1460" s="3" t="inlineStr">
        <is>
          <t>매매</t>
        </is>
      </c>
      <c r="G1460" s="4" t="n">
        <v>8000</v>
      </c>
      <c r="H1460" s="4" t="n">
        <v>0</v>
      </c>
      <c r="I1460" s="4" t="n">
        <v>37</v>
      </c>
      <c r="J1460" s="4" t="n">
        <v>11</v>
      </c>
      <c r="K1460" s="5" t="n">
        <v>727.3</v>
      </c>
      <c r="L1460" s="4" t="n">
        <v>37</v>
      </c>
      <c r="M1460" s="4" t="n">
        <v>11</v>
      </c>
      <c r="N1460" s="5" t="n">
        <v>727.3</v>
      </c>
      <c r="O1460" s="3" t="inlineStr">
        <is>
          <t>L 전체 리모델링. 입주시기 협의</t>
        </is>
      </c>
      <c r="P1460" s="6">
        <f>HYPERLINK("https://fin.land.naver.com/articles/2654721789", "매물Link")</f>
        <v/>
      </c>
      <c r="Q1460" s="6">
        <f>HYPERLINK("https://map.naver.com/p/search/조치원읍 서창리 140-26", "지도Link")</f>
        <v/>
      </c>
      <c r="R1460" s="6">
        <f>HYPERLINK("http://www.eum.go.kr/web/ar/lu/luLandDet.jsp?pnu=3611025034101400026&amp;isNoScr=script&amp;mode=search", "토지이음")</f>
        <v/>
      </c>
      <c r="S1460" s="3" t="inlineStr">
        <is>
          <t>바다</t>
        </is>
      </c>
      <c r="T1460" s="4" t="n">
        <v>1</v>
      </c>
      <c r="U1460" s="5" t="n">
        <v>210.2</v>
      </c>
      <c r="V1460" s="4" t="n">
        <v>171</v>
      </c>
      <c r="W1460" s="3" t="inlineStr">
        <is>
          <t>지정되지않음</t>
        </is>
      </c>
      <c r="X1460" s="3" t="inlineStr">
        <is>
          <t>다세대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세로한면(불)</t>
        </is>
      </c>
    </row>
    <row r="1461">
      <c r="A1461" s="3" t="inlineStr">
        <is>
          <t>조치원읍 서창리 143-4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25</v>
      </c>
      <c r="I1461" s="4" t="n">
        <v>0</v>
      </c>
      <c r="J1461" s="4" t="n">
        <v>0</v>
      </c>
      <c r="K1461" s="5" t="n">
        <v>0</v>
      </c>
      <c r="L1461" s="4" t="n">
        <v>33</v>
      </c>
      <c r="M1461" s="4" t="n">
        <v>10</v>
      </c>
      <c r="N1461" s="5" t="n">
        <v>2.5</v>
      </c>
      <c r="O1461" s="3" t="inlineStr">
        <is>
          <t>L 월25만. 역3분. 바로입주가능</t>
        </is>
      </c>
      <c r="P1461" s="6">
        <f>HYPERLINK("https://fin.land.naver.com/articles/2651114519", "매물Link")</f>
        <v/>
      </c>
      <c r="Q1461" s="6">
        <f>HYPERLINK("https://map.naver.com/p/search/조치원읍 서창리 143-4", "지도Link")</f>
        <v/>
      </c>
      <c r="R1461" s="6">
        <f>HYPERLINK("http://www.eum.go.kr/web/ar/lu/luLandDet.jsp?pnu=3611025034101430004&amp;isNoScr=script&amp;mode=search",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419.8</v>
      </c>
      <c r="V1461" s="4" t="n">
        <v>242</v>
      </c>
      <c r="W1461" s="3" t="inlineStr">
        <is>
          <t>지정되지않음</t>
        </is>
      </c>
      <c r="X1461" s="3" t="inlineStr">
        <is>
          <t>상업용</t>
        </is>
      </c>
      <c r="Y1461" s="3" t="inlineStr">
        <is>
          <t>평지</t>
        </is>
      </c>
      <c r="Z1461" s="3" t="inlineStr">
        <is>
          <t>부정형</t>
        </is>
      </c>
      <c r="AA1461" s="3" t="inlineStr">
        <is>
          <t>중로각지</t>
        </is>
      </c>
    </row>
    <row r="1462">
      <c r="A1462" s="3" t="inlineStr">
        <is>
          <t>조치원읍 서창리 178-1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상가주택</t>
        </is>
      </c>
      <c r="F1462" s="3" t="inlineStr">
        <is>
          <t>매매</t>
        </is>
      </c>
      <c r="G1462" s="4" t="n">
        <v>125000</v>
      </c>
      <c r="H1462" s="4" t="n">
        <v>0</v>
      </c>
      <c r="I1462" s="4" t="n">
        <v>258</v>
      </c>
      <c r="J1462" s="4" t="n">
        <v>78</v>
      </c>
      <c r="K1462" s="5" t="n">
        <v>1602.6</v>
      </c>
      <c r="L1462" s="4" t="n">
        <v>454</v>
      </c>
      <c r="M1462" s="4" t="n">
        <v>137</v>
      </c>
      <c r="N1462" s="5" t="n">
        <v>912.4</v>
      </c>
      <c r="O1462" s="3" t="inlineStr">
        <is>
          <t>대학가 상가주택 통매매</t>
        </is>
      </c>
      <c r="P1462" s="6">
        <f>HYPERLINK("https://fin.land.naver.com/articles/2654216625", "매물Link")</f>
        <v/>
      </c>
      <c r="Q1462" s="6">
        <f>HYPERLINK("https://map.naver.com/p/search/조치원읍 서창리 178-1", "지도Link")</f>
        <v/>
      </c>
      <c r="R1462" s="6">
        <f>HYPERLINK("http://www.eum.go.kr/web/ar/lu/luLandDet.jsp?pnu=3611025034101780001&amp;isNoScr=script&amp;mode=search",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227.8</v>
      </c>
      <c r="V1462" s="4" t="n">
        <v>258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부정형</t>
        </is>
      </c>
      <c r="AA1462" s="3" t="inlineStr">
        <is>
          <t>세로한면(가)</t>
        </is>
      </c>
    </row>
    <row r="1463">
      <c r="A1463" s="3" t="inlineStr">
        <is>
          <t>조치원읍 서창리 188-13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87000</v>
      </c>
      <c r="H1463" s="4" t="n">
        <v>0</v>
      </c>
      <c r="I1463" s="4" t="n">
        <v>286</v>
      </c>
      <c r="J1463" s="4" t="n">
        <v>87</v>
      </c>
      <c r="K1463" s="5" t="n">
        <v>1000</v>
      </c>
      <c r="L1463" s="4" t="n">
        <v>448</v>
      </c>
      <c r="M1463" s="4" t="n">
        <v>136</v>
      </c>
      <c r="N1463" s="5" t="n">
        <v>639.7</v>
      </c>
      <c r="O1463" s="3" t="inlineStr">
        <is>
          <t>대학가 수익률9 다가구주택</t>
        </is>
      </c>
      <c r="P1463" s="6">
        <f>HYPERLINK("https://fin.land.naver.com/articles/2653931472", "매물Link")</f>
        <v/>
      </c>
      <c r="Q1463" s="6">
        <f>HYPERLINK("https://map.naver.com/p/search/조치원읍 서창리 188-13", "지도Link")</f>
        <v/>
      </c>
      <c r="R1463" s="6">
        <f>HYPERLINK("http://www.eum.go.kr/web/ar/lu/luLandDet.jsp?pnu=3611025034101880013&amp;isNoScr=script&amp;mode=search", "토지이음")</f>
        <v/>
      </c>
      <c r="S1463" s="3" t="inlineStr">
        <is>
          <t>고래</t>
        </is>
      </c>
      <c r="T1463" s="4" t="n">
        <v>1</v>
      </c>
      <c r="U1463" s="5" t="n">
        <v>216.6</v>
      </c>
      <c r="V1463" s="4" t="n">
        <v>286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완경사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서창리 188-31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73000</v>
      </c>
      <c r="H1464" s="4" t="n">
        <v>0</v>
      </c>
      <c r="I1464" s="4" t="n">
        <v>245</v>
      </c>
      <c r="J1464" s="4" t="n">
        <v>74</v>
      </c>
      <c r="K1464" s="5" t="n">
        <v>986.5</v>
      </c>
      <c r="L1464" s="4" t="n">
        <v>382</v>
      </c>
      <c r="M1464" s="4" t="n">
        <v>116</v>
      </c>
      <c r="N1464" s="5" t="n">
        <v>629.3</v>
      </c>
      <c r="O1464" s="3" t="inlineStr">
        <is>
          <t>월세440만원가능 다가구 건물</t>
        </is>
      </c>
      <c r="P1464" s="6">
        <f>HYPERLINK("https://fin.land.naver.com/articles/2654217339", "매물Link")</f>
        <v/>
      </c>
      <c r="Q1464" s="6">
        <f>HYPERLINK("https://map.naver.com/p/search/조치원읍 서창리 188-31", "지도Link")</f>
        <v/>
      </c>
      <c r="R1464" s="6">
        <f>HYPERLINK("http://www.eum.go.kr/web/ar/lu/luLandDet.jsp?pnu=3611025034101880031&amp;isNoScr=script&amp;mode=search",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240.7</v>
      </c>
      <c r="V1464" s="4" t="n">
        <v>245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완경사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203-10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49000</v>
      </c>
      <c r="H1465" s="4" t="n">
        <v>0</v>
      </c>
      <c r="I1465" s="4" t="n">
        <v>654</v>
      </c>
      <c r="J1465" s="4" t="n">
        <v>198</v>
      </c>
      <c r="K1465" s="5" t="n">
        <v>247.5</v>
      </c>
      <c r="L1465" s="4" t="n">
        <v>581</v>
      </c>
      <c r="M1465" s="4" t="n">
        <v>176</v>
      </c>
      <c r="N1465" s="5" t="n">
        <v>278.4</v>
      </c>
      <c r="O1465" s="3" t="inlineStr">
        <is>
          <t>nan</t>
        </is>
      </c>
      <c r="P1465" s="6">
        <f>HYPERLINK("https://fin.land.naver.com/articles/2654391179", "매물Link")</f>
        <v/>
      </c>
      <c r="Q1465" s="6">
        <f>HYPERLINK("https://map.naver.com/p/search/조치원읍 서창리 203-10", "지도Link")</f>
        <v/>
      </c>
      <c r="R1465" s="6">
        <f>HYPERLINK("http://www.eum.go.kr/web/ar/lu/luLandDet.jsp?pnu=3611025034102030010&amp;isNoScr=script&amp;mode=search",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205.7</v>
      </c>
      <c r="V1465" s="4" t="n">
        <v>415</v>
      </c>
      <c r="W1465" s="3" t="inlineStr">
        <is>
          <t>자연녹지지역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203-6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0</t>
        </is>
      </c>
      <c r="E1466" s="3" t="inlineStr">
        <is>
          <t>일반원룸</t>
        </is>
      </c>
      <c r="F1466" s="3" t="inlineStr">
        <is>
          <t>전세</t>
        </is>
      </c>
      <c r="G1466" s="4" t="n">
        <v>3000</v>
      </c>
      <c r="H1466" s="4" t="n">
        <v>0</v>
      </c>
      <c r="I1466" s="4" t="n">
        <v>30</v>
      </c>
      <c r="J1466" s="4" t="n">
        <v>9</v>
      </c>
      <c r="K1466" s="5" t="n">
        <v>333.3</v>
      </c>
      <c r="L1466" s="4" t="n">
        <v>30</v>
      </c>
      <c r="M1466" s="4" t="n">
        <v>9</v>
      </c>
      <c r="N1466" s="5" t="n">
        <v>333.3</v>
      </c>
      <c r="O1466" s="3" t="inlineStr">
        <is>
          <t>위치좋고 상태 좋은 저렴한 매물 안전전세</t>
        </is>
      </c>
      <c r="P1466" s="6">
        <f>HYPERLINK("https://fin.land.naver.com/articles/2653251836", "매물Link")</f>
        <v/>
      </c>
      <c r="Q1466" s="6">
        <f>HYPERLINK("https://map.naver.com/p/search/조치원읍 서창리 203-6", "지도Link")</f>
        <v/>
      </c>
      <c r="R1466" s="6">
        <f>HYPERLINK("http://www.eum.go.kr/web/ar/lu/luLandDet.jsp?pnu=3611025034102030006&amp;isNoScr=script&amp;mode=search", "토지이음")</f>
        <v/>
      </c>
      <c r="S1466" s="3" t="inlineStr">
        <is>
          <t>부자터</t>
        </is>
      </c>
      <c r="T1466" s="4" t="n">
        <v>1</v>
      </c>
      <c r="U1466" s="5" t="n">
        <v>344.8</v>
      </c>
      <c r="V1466" s="4" t="n">
        <v>477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중로한면</t>
        </is>
      </c>
    </row>
    <row r="1467">
      <c r="A1467" s="3" t="inlineStr">
        <is>
          <t>조치원읍 서창리 205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30</v>
      </c>
      <c r="I1467" s="4" t="n">
        <v>39</v>
      </c>
      <c r="J1467" s="4" t="n">
        <v>12</v>
      </c>
      <c r="K1467" s="5" t="n">
        <v>2.5</v>
      </c>
      <c r="L1467" s="4" t="n">
        <v>19</v>
      </c>
      <c r="M1467" s="4" t="n">
        <v>6</v>
      </c>
      <c r="N1467" s="5" t="n">
        <v>5</v>
      </c>
      <c r="O1467" s="3" t="inlineStr">
        <is>
          <t>알뜰하고 깔끔한 분리형 원룸</t>
        </is>
      </c>
      <c r="P1467" s="6">
        <f>HYPERLINK("https://fin.land.naver.com/articles/2653930959", "매물Link")</f>
        <v/>
      </c>
      <c r="Q1467" s="6">
        <f>HYPERLINK("https://map.naver.com/p/search/조치원읍 서창리 205", "지도Link")</f>
        <v/>
      </c>
      <c r="R1467" s="6">
        <f>HYPERLINK("http://www.eum.go.kr/web/ar/lu/luLandDet.jsp?pnu=3611025034102050000&amp;isNoScr=script&amp;mode=search",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144.3</v>
      </c>
      <c r="V1467" s="4" t="n">
        <v>796</v>
      </c>
      <c r="W1467" s="3" t="inlineStr">
        <is>
          <t>제1종일반주거지역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205-3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35</v>
      </c>
      <c r="I1468" s="4" t="n">
        <v>39</v>
      </c>
      <c r="J1468" s="4" t="n">
        <v>12</v>
      </c>
      <c r="K1468" s="5" t="n">
        <v>2.9</v>
      </c>
      <c r="L1468" s="4" t="n">
        <v>29</v>
      </c>
      <c r="M1468" s="4" t="n">
        <v>9</v>
      </c>
      <c r="N1468" s="5" t="n">
        <v>3.9</v>
      </c>
      <c r="O1468" s="3" t="inlineStr">
        <is>
          <t>큰방.풀옵션.전동.전의면 가까운곳 위치.</t>
        </is>
      </c>
      <c r="P1468" s="6">
        <f>HYPERLINK("https://fin.land.naver.com/articles/2655636136", "매물Link")</f>
        <v/>
      </c>
      <c r="Q1468" s="6">
        <f>HYPERLINK("https://map.naver.com/p/search/조치원읍 서창리 205-3", "지도Link")</f>
        <v/>
      </c>
      <c r="R1468" s="6">
        <f>HYPERLINK("http://www.eum.go.kr/web/ar/lu/luLandDet.jsp?pnu=3611025034102050003&amp;isNoScr=script&amp;mode=search",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140.4</v>
      </c>
      <c r="V1468" s="4" t="n">
        <v>798</v>
      </c>
      <c r="W1468" s="3" t="inlineStr">
        <is>
          <t>제1종일반주거지역</t>
        </is>
      </c>
      <c r="X1468" s="3" t="inlineStr">
        <is>
          <t>단독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219-3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47000</v>
      </c>
      <c r="H1469" s="4" t="n">
        <v>0</v>
      </c>
      <c r="I1469" s="4" t="n">
        <v>205</v>
      </c>
      <c r="J1469" s="4" t="n">
        <v>62</v>
      </c>
      <c r="K1469" s="5" t="n">
        <v>758.1</v>
      </c>
      <c r="L1469" s="4" t="n">
        <v>360</v>
      </c>
      <c r="M1469" s="4" t="n">
        <v>109</v>
      </c>
      <c r="N1469" s="5" t="n">
        <v>431.2</v>
      </c>
      <c r="O1469" s="3" t="inlineStr">
        <is>
          <t>nan</t>
        </is>
      </c>
      <c r="P1469" s="6">
        <f>HYPERLINK("https://fin.land.naver.com/articles/2654390965", "매물Link")</f>
        <v/>
      </c>
      <c r="Q1469" s="6">
        <f>HYPERLINK("https://map.naver.com/p/search/조치원읍 서창리 219-3", "지도Link")</f>
        <v/>
      </c>
      <c r="R1469" s="6">
        <f>HYPERLINK("http://www.eum.go.kr/web/ar/lu/luLandDet.jsp?pnu=3611025034102190003&amp;isNoScr=script&amp;mode=search", "토지이음")</f>
        <v/>
      </c>
      <c r="S1469" s="3" t="inlineStr">
        <is>
          <t>척척</t>
        </is>
      </c>
      <c r="T1469" s="4" t="n">
        <v>1</v>
      </c>
      <c r="U1469" s="5" t="n">
        <v>244.1</v>
      </c>
      <c r="V1469" s="4" t="n">
        <v>205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조치원읍 서창리 290-5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300</v>
      </c>
      <c r="H1470" s="4" t="n">
        <v>29</v>
      </c>
      <c r="I1470" s="4" t="n">
        <v>39</v>
      </c>
      <c r="J1470" s="4" t="n">
        <v>12</v>
      </c>
      <c r="K1470" s="5" t="n">
        <v>2.4</v>
      </c>
      <c r="L1470" s="4" t="n">
        <v>26</v>
      </c>
      <c r="M1470" s="4" t="n">
        <v>8</v>
      </c>
      <c r="N1470" s="5" t="n">
        <v>3.6</v>
      </c>
      <c r="O1470" s="3" t="inlineStr">
        <is>
          <t>서창리 분리형 넓은 원룸</t>
        </is>
      </c>
      <c r="P1470" s="6">
        <f>HYPERLINK("https://fin.land.naver.com/articles/2655629587", "매물Link")</f>
        <v/>
      </c>
      <c r="Q1470" s="6">
        <f>HYPERLINK("https://map.naver.com/p/search/조치원읍 서창리 290-5", "지도Link")</f>
        <v/>
      </c>
      <c r="R1470" s="6">
        <f>HYPERLINK("http://www.eum.go.kr/web/ar/lu/luLandDet.jsp?pnu=3611025034102900005&amp;isNoScr=script&amp;mode=search",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319.2</v>
      </c>
      <c r="V1470" s="4" t="n">
        <v>237.8</v>
      </c>
      <c r="W1470" s="3" t="inlineStr">
        <is>
          <t>지정되지않음</t>
        </is>
      </c>
      <c r="X1470" s="3" t="inlineStr">
        <is>
          <t>주상나지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세로한면(가)</t>
        </is>
      </c>
    </row>
    <row r="1471">
      <c r="A1471" s="3" t="inlineStr">
        <is>
          <t>조치원읍 서창리 291-3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22</v>
      </c>
      <c r="I1471" s="4" t="n">
        <v>0</v>
      </c>
      <c r="J1471" s="4" t="n">
        <v>0</v>
      </c>
      <c r="K1471" s="5" t="n">
        <v>0</v>
      </c>
      <c r="L1471" s="4" t="n">
        <v>19</v>
      </c>
      <c r="M1471" s="4" t="n">
        <v>6</v>
      </c>
      <c r="N1471" s="5" t="n">
        <v>3.7</v>
      </c>
      <c r="O1471" s="3" t="inlineStr">
        <is>
          <t>단기가능 엘리베이터 고대 도보거리</t>
        </is>
      </c>
      <c r="P1471" s="6">
        <f>HYPERLINK("https://fin.land.naver.com/articles/2653942501", "매물Link")</f>
        <v/>
      </c>
      <c r="Q1471" s="6">
        <f>HYPERLINK("https://map.naver.com/p/search/조치원읍 서창리 291-3", "지도Link")</f>
        <v/>
      </c>
      <c r="R1471" s="6">
        <f>HYPERLINK("http://www.eum.go.kr/web/ar/lu/luLandDet.jsp?pnu=3611025034102910003&amp;isNoScr=script&amp;mode=search",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538.2</v>
      </c>
      <c r="V1471" s="4" t="n">
        <v>221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중로한면</t>
        </is>
      </c>
    </row>
    <row r="1472">
      <c r="A1472" s="3" t="inlineStr">
        <is>
          <t>조치원읍 서창리 292-1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100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HYPERLINK("https://fin.land.naver.com/articles/2655908178", "매물Link")</f>
        <v/>
      </c>
      <c r="Q1472" s="6">
        <f>HYPERLINK("https://map.naver.com/p/search/조치원읍 서창리 292-1", "지도Link")</f>
        <v/>
      </c>
      <c r="R1472" s="6">
        <f>HYPERLINK("http://www.eum.go.kr/web/ar/lu/luLandDet.jsp?pnu=3611025034102920001&amp;isNoScr=script&amp;mode=search",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327.8</v>
      </c>
      <c r="V1472" s="4" t="n">
        <v>301.5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세로각지(가)</t>
        </is>
      </c>
    </row>
    <row r="1473">
      <c r="A1473" s="3" t="inlineStr">
        <is>
          <t>조치원읍 서창리 292-2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4500</v>
      </c>
      <c r="H1473" s="4" t="n">
        <v>0</v>
      </c>
      <c r="I1473" s="4" t="n">
        <v>23</v>
      </c>
      <c r="J1473" s="4" t="n">
        <v>7</v>
      </c>
      <c r="K1473" s="5" t="n">
        <v>642.9</v>
      </c>
      <c r="L1473" s="4" t="n">
        <v>23</v>
      </c>
      <c r="M1473" s="4" t="n">
        <v>7</v>
      </c>
      <c r="N1473" s="5" t="n">
        <v>642.9</v>
      </c>
      <c r="O1473" s="3" t="inlineStr">
        <is>
          <t>서창리 원룸 전세</t>
        </is>
      </c>
      <c r="P1473" s="6">
        <f>HYPERLINK("https://fin.land.naver.com/articles/2655916532", "매물Link")</f>
        <v/>
      </c>
      <c r="Q1473" s="6">
        <f>HYPERLINK("https://map.naver.com/p/search/조치원읍 서창리 292-2", "지도Link")</f>
        <v/>
      </c>
      <c r="R1473" s="6">
        <f>HYPERLINK("http://www.eum.go.kr/web/ar/lu/luLandDet.jsp?pnu=3611025034102920002&amp;isNoScr=script&amp;mode=search", "토지이음")</f>
        <v/>
      </c>
      <c r="S1473" s="3" t="inlineStr">
        <is>
          <t>김준희</t>
        </is>
      </c>
      <c r="T1473" s="4" t="n">
        <v>1</v>
      </c>
      <c r="U1473" s="5" t="n">
        <v>324.7</v>
      </c>
      <c r="V1473" s="4" t="n">
        <v>301.2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정방형</t>
        </is>
      </c>
      <c r="AA1473" s="3" t="inlineStr">
        <is>
          <t>세로각지(가)</t>
        </is>
      </c>
    </row>
    <row r="1474">
      <c r="A1474" s="3" t="inlineStr">
        <is>
          <t>조치원읍 서창리 292-2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4500</v>
      </c>
      <c r="H1474" s="4" t="n">
        <v>0</v>
      </c>
      <c r="I1474" s="4" t="n">
        <v>39</v>
      </c>
      <c r="J1474" s="4" t="n">
        <v>12</v>
      </c>
      <c r="K1474" s="5" t="n">
        <v>375</v>
      </c>
      <c r="L1474" s="4" t="n">
        <v>26</v>
      </c>
      <c r="M1474" s="4" t="n">
        <v>8</v>
      </c>
      <c r="N1474" s="5" t="n">
        <v>562.5</v>
      </c>
      <c r="O1474" s="3" t="inlineStr">
        <is>
          <t>큰싸이즈의 분리형 원룸 안전한 전세찾으시는분</t>
        </is>
      </c>
      <c r="P1474" s="6">
        <f>HYPERLINK("https://fin.land.naver.com/articles/2655341384", "매물Link")</f>
        <v/>
      </c>
      <c r="Q1474" s="6">
        <f>HYPERLINK("https://map.naver.com/p/search/조치원읍 서창리 292-2", "지도Link")</f>
        <v/>
      </c>
      <c r="R1474" s="6">
        <f>HYPERLINK("http://www.eum.go.kr/web/ar/lu/luLandDet.jsp?pnu=3611025034102920002&amp;isNoScr=script&amp;mode=search",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324.7</v>
      </c>
      <c r="V1474" s="4" t="n">
        <v>301.2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정방형</t>
        </is>
      </c>
      <c r="AA1474" s="3" t="inlineStr">
        <is>
          <t>세로각지(가)</t>
        </is>
      </c>
    </row>
    <row r="1475">
      <c r="A1475" s="3" t="inlineStr">
        <is>
          <t>조치원읍 서창리 292-2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다가구</t>
        </is>
      </c>
      <c r="F1475" s="3" t="inlineStr">
        <is>
          <t>전세</t>
        </is>
      </c>
      <c r="G1475" s="4" t="n">
        <v>4500</v>
      </c>
      <c r="H1475" s="4" t="n">
        <v>0</v>
      </c>
      <c r="I1475" s="4" t="n">
        <v>23</v>
      </c>
      <c r="J1475" s="4" t="n">
        <v>7</v>
      </c>
      <c r="K1475" s="5" t="n">
        <v>642.9</v>
      </c>
      <c r="L1475" s="4" t="n">
        <v>23</v>
      </c>
      <c r="M1475" s="4" t="n">
        <v>7</v>
      </c>
      <c r="N1475" s="5" t="n">
        <v>642.9</v>
      </c>
      <c r="O1475" s="3" t="inlineStr">
        <is>
          <t>서창리 원룸 월세</t>
        </is>
      </c>
      <c r="P1475" s="6">
        <f>HYPERLINK("https://fin.land.naver.com/articles/2655912413", "매물Link")</f>
        <v/>
      </c>
      <c r="Q1475" s="6">
        <f>HYPERLINK("https://map.naver.com/p/search/조치원읍 서창리 292-2", "지도Link")</f>
        <v/>
      </c>
      <c r="R1475" s="6">
        <f>HYPERLINK("http://www.eum.go.kr/web/ar/lu/luLandDet.jsp?pnu=3611025034102920002&amp;isNoScr=script&amp;mode=search", "토지이음")</f>
        <v/>
      </c>
      <c r="S1475" s="3" t="inlineStr">
        <is>
          <t>상희</t>
        </is>
      </c>
      <c r="T1475" s="4" t="n">
        <v>1</v>
      </c>
      <c r="U1475" s="5" t="n">
        <v>324.7</v>
      </c>
      <c r="V1475" s="4" t="n">
        <v>301.2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세로각지(가)</t>
        </is>
      </c>
    </row>
    <row r="1476">
      <c r="A1476" s="3" t="inlineStr">
        <is>
          <t>조치원읍 서창리 293-11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500</v>
      </c>
      <c r="H1476" s="4" t="n">
        <v>55</v>
      </c>
      <c r="I1476" s="4" t="n">
        <v>42</v>
      </c>
      <c r="J1476" s="4" t="n">
        <v>13</v>
      </c>
      <c r="K1476" s="5" t="n">
        <v>4.2</v>
      </c>
      <c r="L1476" s="4" t="n">
        <v>39</v>
      </c>
      <c r="M1476" s="4" t="n">
        <v>12</v>
      </c>
      <c r="N1476" s="5" t="n">
        <v>4.6</v>
      </c>
      <c r="O1476" s="3" t="inlineStr">
        <is>
          <t>귀한 풀옵션 투룸 11월3일 이후 입주가능</t>
        </is>
      </c>
      <c r="P1476" s="6">
        <f>HYPERLINK("https://fin.land.naver.com/articles/2656087112", "매물Link")</f>
        <v/>
      </c>
      <c r="Q1476" s="6">
        <f>HYPERLINK("https://map.naver.com/p/search/조치원읍 서창리 293-11", "지도Link")</f>
        <v/>
      </c>
      <c r="R1476" s="6">
        <f>HYPERLINK("http://www.eum.go.kr/web/ar/lu/luLandDet.jsp?pnu=3611025034102930011&amp;isNoScr=script&amp;mode=search",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289.3</v>
      </c>
      <c r="V1476" s="4" t="n">
        <v>222.7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세로한면(가)</t>
        </is>
      </c>
    </row>
    <row r="1477">
      <c r="A1477" s="3" t="inlineStr">
        <is>
          <t>조치원읍 서창리 293-11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200</v>
      </c>
      <c r="H1477" s="4" t="n">
        <v>30</v>
      </c>
      <c r="I1477" s="4" t="n">
        <v>0</v>
      </c>
      <c r="J1477" s="4" t="n">
        <v>0</v>
      </c>
      <c r="K1477" s="5" t="n">
        <v>0</v>
      </c>
      <c r="L1477" s="4" t="n">
        <v>25</v>
      </c>
      <c r="M1477" s="4" t="n">
        <v>8</v>
      </c>
      <c r="N1477" s="5" t="n">
        <v>3.8</v>
      </c>
      <c r="O1477" s="3" t="inlineStr">
        <is>
          <t>넓고 깔끔한 풀옵션방   주차편함  짐만 챙겨오세요 교통편리</t>
        </is>
      </c>
      <c r="P1477" s="6">
        <f>HYPERLINK("https://fin.land.naver.com/articles/2653291150", "매물Link")</f>
        <v/>
      </c>
      <c r="Q1477" s="6">
        <f>HYPERLINK("https://map.naver.com/p/search/조치원읍 서창리 293-11", "지도Link")</f>
        <v/>
      </c>
      <c r="R1477" s="6">
        <f>HYPERLINK("http://www.eum.go.kr/web/ar/lu/luLandDet.jsp?pnu=3611025034102930011&amp;isNoScr=script&amp;mode=search", "토지이음")</f>
        <v/>
      </c>
      <c r="S1477" s="3" t="inlineStr">
        <is>
          <t>연서으뜸</t>
        </is>
      </c>
      <c r="T1477" s="4" t="n">
        <v>1</v>
      </c>
      <c r="U1477" s="5" t="n">
        <v>289.3</v>
      </c>
      <c r="V1477" s="4" t="n">
        <v>222.7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22</v>
      </c>
      <c r="J1478" s="4" t="n">
        <v>7</v>
      </c>
      <c r="K1478" s="5" t="n">
        <v>4.3</v>
      </c>
      <c r="L1478" s="4" t="n">
        <v>22</v>
      </c>
      <c r="M1478" s="4" t="n">
        <v>7</v>
      </c>
      <c r="N1478" s="5" t="n">
        <v>4.3</v>
      </c>
      <c r="O1478" s="3" t="inlineStr">
        <is>
          <t>방2칸, 입주 청소하고 가능
원룸월세</t>
        </is>
      </c>
      <c r="P1478" s="6">
        <f>HYPERLINK("https://fin.land.naver.com/articles/2655958081",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월세</t>
        </is>
      </c>
      <c r="G1479" s="4" t="n">
        <v>500</v>
      </c>
      <c r="H1479" s="4" t="n">
        <v>50</v>
      </c>
      <c r="I1479" s="4" t="n">
        <v>40</v>
      </c>
      <c r="J1479" s="4" t="n">
        <v>12</v>
      </c>
      <c r="K1479" s="5" t="n">
        <v>4.2</v>
      </c>
      <c r="L1479" s="4" t="n">
        <v>40</v>
      </c>
      <c r="M1479" s="4" t="n">
        <v>12</v>
      </c>
      <c r="N1479" s="5" t="n">
        <v>4.2</v>
      </c>
      <c r="O1479" s="3" t="inlineStr">
        <is>
          <t>방2칸, 11월초 입주 투룸 월세</t>
        </is>
      </c>
      <c r="P1479" s="6">
        <f>HYPERLINK("https://fin.land.naver.com/articles/2655957555",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293-13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0</v>
      </c>
      <c r="J1480" s="4" t="n">
        <v>0</v>
      </c>
      <c r="K1480" s="5" t="n">
        <v>0</v>
      </c>
      <c r="L1480" s="4" t="n">
        <v>29</v>
      </c>
      <c r="M1480" s="4" t="n">
        <v>9</v>
      </c>
      <c r="N1480" s="5" t="n">
        <v>3.3</v>
      </c>
      <c r="O1480" s="3" t="inlineStr">
        <is>
          <t>투베이 빠른입주가능</t>
        </is>
      </c>
      <c r="P1480" s="6">
        <f>HYPERLINK("https://fin.land.naver.com/articles/2653942086", "매물Link")</f>
        <v/>
      </c>
      <c r="Q1480" s="6">
        <f>HYPERLINK("https://map.naver.com/p/search/조치원읍 서창리 293-13", "지도Link")</f>
        <v/>
      </c>
      <c r="R1480" s="6">
        <f>HYPERLINK("http://www.eum.go.kr/web/ar/lu/luLandDet.jsp?pnu=3611025034102930013&amp;isNoScr=script&amp;mode=search",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295.1</v>
      </c>
      <c r="V1480" s="4" t="n">
        <v>224.3</v>
      </c>
      <c r="W1480" s="3" t="inlineStr">
        <is>
          <t>지정되지않음</t>
        </is>
      </c>
      <c r="X1480" s="3" t="inlineStr">
        <is>
          <t>다세대</t>
        </is>
      </c>
      <c r="Y1480" s="3" t="inlineStr">
        <is>
          <t>평지</t>
        </is>
      </c>
      <c r="Z1480" s="3" t="inlineStr">
        <is>
          <t>정방형</t>
        </is>
      </c>
      <c r="AA1480" s="3" t="inlineStr">
        <is>
          <t>세로한면(가)</t>
        </is>
      </c>
    </row>
    <row r="1481">
      <c r="A1481" s="3" t="inlineStr">
        <is>
          <t>조치원읍 서창리 293-5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5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78000</v>
      </c>
      <c r="H1481" s="4" t="n">
        <v>0</v>
      </c>
      <c r="I1481" s="4" t="n">
        <v>215</v>
      </c>
      <c r="J1481" s="4" t="n">
        <v>65</v>
      </c>
      <c r="K1481" s="5" t="n">
        <v>1200</v>
      </c>
      <c r="L1481" s="4" t="n">
        <v>493</v>
      </c>
      <c r="M1481" s="4" t="n">
        <v>149</v>
      </c>
      <c r="N1481" s="5" t="n">
        <v>523.5</v>
      </c>
      <c r="O1481" s="3" t="inlineStr">
        <is>
          <t>nan</t>
        </is>
      </c>
      <c r="P1481" s="6">
        <f>HYPERLINK("https://fin.land.naver.com/articles/2654392386", "매물Link")</f>
        <v/>
      </c>
      <c r="Q1481" s="6">
        <f>HYPERLINK("https://map.naver.com/p/search/조치원읍 서창리 293-5", "지도Link")</f>
        <v/>
      </c>
      <c r="R1481" s="6">
        <f>HYPERLINK("http://www.eum.go.kr/web/ar/lu/luLandDet.jsp?pnu=3611025034102930005&amp;isNoScr=script&amp;mode=search",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295.1</v>
      </c>
      <c r="V1481" s="4" t="n">
        <v>215.3</v>
      </c>
      <c r="W1481" s="3" t="inlineStr">
        <is>
          <t>지정되지않음</t>
        </is>
      </c>
      <c r="X1481" s="3" t="inlineStr">
        <is>
          <t>주거나지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세로한면(가)</t>
        </is>
      </c>
    </row>
    <row r="1482">
      <c r="A1482" s="3" t="inlineStr">
        <is>
          <t>조치원읍 서창리 296-8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70000</v>
      </c>
      <c r="H1482" s="4" t="n">
        <v>0</v>
      </c>
      <c r="I1482" s="4" t="n">
        <v>317</v>
      </c>
      <c r="J1482" s="4" t="n">
        <v>96</v>
      </c>
      <c r="K1482" s="5" t="n">
        <v>729.2</v>
      </c>
      <c r="L1482" s="4" t="n">
        <v>481</v>
      </c>
      <c r="M1482" s="4" t="n">
        <v>146</v>
      </c>
      <c r="N1482" s="5" t="n">
        <v>479.5</v>
      </c>
      <c r="O1482" s="3" t="inlineStr">
        <is>
          <t>nan</t>
        </is>
      </c>
      <c r="P1482" s="6">
        <f>HYPERLINK("https://fin.land.naver.com/articles/2654391524", "매물Link")</f>
        <v/>
      </c>
      <c r="Q1482" s="6">
        <f>HYPERLINK("https://map.naver.com/p/search/조치원읍 서창리 296-8", "지도Link")</f>
        <v/>
      </c>
      <c r="R1482" s="6">
        <f>HYPERLINK("http://www.eum.go.kr/web/ar/lu/luLandDet.jsp?pnu=3611025034102960008&amp;isNoScr=script&amp;mode=search",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321.1</v>
      </c>
      <c r="V1482" s="4" t="n">
        <v>317.7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296-8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317</v>
      </c>
      <c r="J1483" s="4" t="n">
        <v>96</v>
      </c>
      <c r="K1483" s="5" t="n">
        <v>729.2</v>
      </c>
      <c r="L1483" s="4" t="n">
        <v>481</v>
      </c>
      <c r="M1483" s="4" t="n">
        <v>146</v>
      </c>
      <c r="N1483" s="5" t="n">
        <v>479.5</v>
      </c>
      <c r="O1483" s="3" t="inlineStr">
        <is>
          <t>다가구 매매 실투자금 약 5억</t>
        </is>
      </c>
      <c r="P1483" s="6">
        <f>HYPERLINK("https://fin.land.naver.com/articles/2651340270", "매물Link")</f>
        <v/>
      </c>
      <c r="Q1483" s="6">
        <f>HYPERLINK("https://map.naver.com/p/search/조치원읍 서창리 296-8", "지도Link")</f>
        <v/>
      </c>
      <c r="R1483" s="6">
        <f>HYPERLINK("http://www.eum.go.kr/web/ar/lu/luLandDet.jsp?pnu=3611025034102960008&amp;isNoScr=script&amp;mode=search", "토지이음")</f>
        <v/>
      </c>
      <c r="S1483" s="3" t="inlineStr">
        <is>
          <t>상희</t>
        </is>
      </c>
      <c r="T1483" s="4" t="n">
        <v>1</v>
      </c>
      <c r="U1483" s="5" t="n">
        <v>321.1</v>
      </c>
      <c r="V1483" s="4" t="n">
        <v>317.7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60</v>
      </c>
      <c r="H1485" s="4" t="n">
        <v>30</v>
      </c>
      <c r="I1485" s="4" t="n">
        <v>23</v>
      </c>
      <c r="J1485" s="4" t="n">
        <v>7</v>
      </c>
      <c r="K1485" s="5" t="n">
        <v>4.3</v>
      </c>
      <c r="L1485" s="4" t="n">
        <v>23</v>
      </c>
      <c r="M1485" s="4" t="n">
        <v>7</v>
      </c>
      <c r="N1485" s="5" t="n">
        <v>4.3</v>
      </c>
      <c r="O1485" s="3" t="inlineStr">
        <is>
          <t>nan</t>
        </is>
      </c>
      <c r="P1485" s="6">
        <f>HYPERLINK("https://fin.land.naver.com/articles/2654007914", "매물Link")</f>
        <v/>
      </c>
      <c r="Q1485" s="6">
        <f>HYPERLINK("https://map.naver.com/p/search/조치원읍 서창리 297-2", "지도Link")</f>
        <v/>
      </c>
      <c r="R1485" s="6">
        <f>HYPERLINK("http://www.eum.go.kr/web/ar/lu/luLandDet.jsp?pnu=3611025034102970002&amp;isNoScr=script&amp;mode=search", "토지이음")</f>
        <v/>
      </c>
      <c r="S1485" s="3" t="inlineStr">
        <is>
          <t>상희</t>
        </is>
      </c>
      <c r="T1485" s="4" t="n">
        <v>2</v>
      </c>
      <c r="U1485" s="5" t="n">
        <v>327.5</v>
      </c>
      <c r="V1485" s="4" t="n">
        <v>288.8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소로한면</t>
        </is>
      </c>
    </row>
    <row r="1486">
      <c r="A1486" s="3" t="inlineStr">
        <is>
          <t>조치원읍 서창리 298-2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200</v>
      </c>
      <c r="H1486" s="4" t="n">
        <v>25</v>
      </c>
      <c r="I1486" s="4" t="n">
        <v>0</v>
      </c>
      <c r="J1486" s="4" t="n">
        <v>0</v>
      </c>
      <c r="K1486" s="5" t="n">
        <v>0</v>
      </c>
      <c r="L1486" s="4" t="n">
        <v>21</v>
      </c>
      <c r="M1486" s="4" t="n">
        <v>6</v>
      </c>
      <c r="N1486" s="5" t="n">
        <v>4.2</v>
      </c>
      <c r="O1486" s="3" t="inlineStr">
        <is>
          <t>L 월33만. 역3분. 즉시입주가능</t>
        </is>
      </c>
      <c r="P1486" s="6">
        <f>HYPERLINK("https://fin.land.naver.com/articles/2654721879", "매물Link")</f>
        <v/>
      </c>
      <c r="Q1486" s="6">
        <f>HYPERLINK("https://map.naver.com/p/search/조치원읍 서창리 298-2", "지도Link")</f>
        <v/>
      </c>
      <c r="R1486" s="6">
        <f>HYPERLINK("http://www.eum.go.kr/web/ar/lu/luLandDet.jsp?pnu=3611025034102980002&amp;isNoScr=script&amp;mode=search", "토지이음")</f>
        <v/>
      </c>
      <c r="S1486" s="3" t="inlineStr">
        <is>
          <t>바다</t>
        </is>
      </c>
      <c r="T1486" s="4" t="n">
        <v>1</v>
      </c>
      <c r="U1486" s="5" t="n">
        <v>347.8</v>
      </c>
      <c r="V1486" s="4" t="n">
        <v>295.2</v>
      </c>
      <c r="W1486" s="3" t="inlineStr">
        <is>
          <t>지정되지않음</t>
        </is>
      </c>
      <c r="X1486" s="3" t="inlineStr">
        <is>
          <t>주상기타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298-2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29</v>
      </c>
      <c r="I1487" s="4" t="n">
        <v>33</v>
      </c>
      <c r="J1487" s="4" t="n">
        <v>10</v>
      </c>
      <c r="K1487" s="5" t="n">
        <v>2.9</v>
      </c>
      <c r="L1487" s="4" t="n">
        <v>19</v>
      </c>
      <c r="M1487" s="4" t="n">
        <v>6</v>
      </c>
      <c r="N1487" s="5" t="n">
        <v>4.8</v>
      </c>
      <c r="O1487" s="3" t="inlineStr">
        <is>
          <t>인프라좋은 저렴한 원룸.1인거주최적화.모든게옵션.</t>
        </is>
      </c>
      <c r="P1487" s="6">
        <f>HYPERLINK("https://fin.land.naver.com/articles/2655629900", "매물Link")</f>
        <v/>
      </c>
      <c r="Q1487" s="6">
        <f>HYPERLINK("https://map.naver.com/p/search/조치원읍 서창리 298-2", "지도Link")</f>
        <v/>
      </c>
      <c r="R1487" s="6">
        <f>HYPERLINK("http://www.eum.go.kr/web/ar/lu/luLandDet.jsp?pnu=3611025034102980002&amp;isNoScr=script&amp;mode=search",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347.8</v>
      </c>
      <c r="V1487" s="4" t="n">
        <v>295.2</v>
      </c>
      <c r="W1487" s="3" t="inlineStr">
        <is>
          <t>지정되지않음</t>
        </is>
      </c>
      <c r="X1487" s="3" t="inlineStr">
        <is>
          <t>주상기타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28</v>
      </c>
      <c r="I1489" s="4" t="n">
        <v>20</v>
      </c>
      <c r="J1489" s="4" t="n">
        <v>6</v>
      </c>
      <c r="K1489" s="5" t="n">
        <v>4.7</v>
      </c>
      <c r="L1489" s="4" t="n">
        <v>20</v>
      </c>
      <c r="M1489" s="4" t="n">
        <v>6</v>
      </c>
      <c r="N1489" s="5" t="n">
        <v>4.7</v>
      </c>
      <c r="O1489" s="3" t="inlineStr">
        <is>
          <t>원룸 월세 서창리</t>
        </is>
      </c>
      <c r="P1489" s="6">
        <f>HYPERLINK("https://fin.land.naver.com/articles/2654528564",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김준희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66-34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단독</t>
        </is>
      </c>
      <c r="F1490" s="3" t="inlineStr">
        <is>
          <t>매매</t>
        </is>
      </c>
      <c r="G1490" s="4" t="n">
        <v>85000</v>
      </c>
      <c r="H1490" s="4" t="n">
        <v>0</v>
      </c>
      <c r="I1490" s="4" t="n">
        <v>192</v>
      </c>
      <c r="J1490" s="4" t="n">
        <v>58</v>
      </c>
      <c r="K1490" s="5" t="n">
        <v>1465.5</v>
      </c>
      <c r="L1490" s="4" t="n">
        <v>254</v>
      </c>
      <c r="M1490" s="4" t="n">
        <v>77</v>
      </c>
      <c r="N1490" s="5" t="n">
        <v>1103.9</v>
      </c>
      <c r="O1490" s="3" t="inlineStr">
        <is>
          <t>고대세종 신축급 원룸건물 매매</t>
        </is>
      </c>
      <c r="P1490" s="6">
        <f>HYPERLINK("https://fin.land.naver.com/articles/2653931508", "매물Link")</f>
        <v/>
      </c>
      <c r="Q1490" s="6">
        <f>HYPERLINK("https://map.naver.com/p/search/조치원읍 서창리 66-34", "지도Link")</f>
        <v/>
      </c>
      <c r="R1490" s="6">
        <f>HYPERLINK("http://www.eum.go.kr/web/ar/lu/luLandDet.jsp?pnu=3611025034100660034&amp;isNoScr=script&amp;mode=search", "토지이음")</f>
        <v/>
      </c>
      <c r="S1490" s="3" t="inlineStr">
        <is>
          <t>고래</t>
        </is>
      </c>
      <c r="T1490" s="4" t="n">
        <v>1</v>
      </c>
      <c r="U1490" s="5" t="n">
        <v>259</v>
      </c>
      <c r="V1490" s="4" t="n">
        <v>192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세로한면(가)</t>
        </is>
      </c>
    </row>
    <row r="1491">
      <c r="A1491" s="3" t="inlineStr">
        <is>
          <t>조치원읍 서창리 66-35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상가주택</t>
        </is>
      </c>
      <c r="F1491" s="3" t="inlineStr">
        <is>
          <t>매매</t>
        </is>
      </c>
      <c r="G1491" s="4" t="n">
        <v>76000</v>
      </c>
      <c r="H1491" s="4" t="n">
        <v>0</v>
      </c>
      <c r="I1491" s="4" t="n">
        <v>189</v>
      </c>
      <c r="J1491" s="4" t="n">
        <v>57</v>
      </c>
      <c r="K1491" s="5" t="n">
        <v>1333.3</v>
      </c>
      <c r="L1491" s="4" t="n">
        <v>259</v>
      </c>
      <c r="M1491" s="4" t="n">
        <v>78</v>
      </c>
      <c r="N1491" s="5" t="n">
        <v>974.4</v>
      </c>
      <c r="O1491" s="3" t="inlineStr">
        <is>
          <t>대학가 2억7천 투자 수익률7.5</t>
        </is>
      </c>
      <c r="P1491" s="6">
        <f>HYPERLINK("https://fin.land.naver.com/articles/2653931569", "매물Link")</f>
        <v/>
      </c>
      <c r="Q1491" s="6">
        <f>HYPERLINK("https://map.naver.com/p/search/조치원읍 서창리 66-35", "지도Link")</f>
        <v/>
      </c>
      <c r="R1491" s="6">
        <f>HYPERLINK("http://www.eum.go.kr/web/ar/lu/luLandDet.jsp?pnu=3611025034100660035&amp;isNoScr=script&amp;mode=search", "토지이음")</f>
        <v/>
      </c>
      <c r="S1491" s="3" t="inlineStr">
        <is>
          <t>고래</t>
        </is>
      </c>
      <c r="T1491" s="4" t="n">
        <v>1</v>
      </c>
      <c r="U1491" s="5" t="n">
        <v>401.7</v>
      </c>
      <c r="V1491" s="4" t="n">
        <v>189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가로장방</t>
        </is>
      </c>
      <c r="AA1491" s="3" t="inlineStr">
        <is>
          <t>소로한면</t>
        </is>
      </c>
    </row>
    <row r="1492">
      <c r="A1492" s="3" t="inlineStr">
        <is>
          <t>조치원읍 신안리 146-2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매매</t>
        </is>
      </c>
      <c r="G1492" s="4" t="n">
        <v>48000</v>
      </c>
      <c r="H1492" s="4" t="n">
        <v>0</v>
      </c>
      <c r="I1492" s="4" t="n">
        <v>283</v>
      </c>
      <c r="J1492" s="4" t="n">
        <v>86</v>
      </c>
      <c r="K1492" s="5" t="n">
        <v>558.1</v>
      </c>
      <c r="L1492" s="4" t="n">
        <v>95</v>
      </c>
      <c r="M1492" s="4" t="n">
        <v>29</v>
      </c>
      <c r="N1492" s="5" t="n">
        <v>1655.2</v>
      </c>
      <c r="O1492" s="3" t="inlineStr">
        <is>
          <t>편의성과 안락함을 다 갖춘 단독주택</t>
        </is>
      </c>
      <c r="P1492" s="6">
        <f>HYPERLINK("https://fin.land.naver.com/articles/2653789650", "매물Link")</f>
        <v/>
      </c>
      <c r="Q1492" s="6">
        <f>HYPERLINK("https://map.naver.com/p/search/조치원읍 신안리 146-2", "지도Link")</f>
        <v/>
      </c>
      <c r="R1492" s="6">
        <f>HYPERLINK("http://www.eum.go.kr/web/ar/lu/luLandDet.jsp?pnu=3611025032101460002&amp;isNoScr=script&amp;mode=search",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188.1</v>
      </c>
      <c r="V1492" s="4" t="n">
        <v>247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168-2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1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50</v>
      </c>
      <c r="H1493" s="4" t="n">
        <v>23</v>
      </c>
      <c r="I1493" s="4" t="n">
        <v>20</v>
      </c>
      <c r="J1493" s="4" t="n">
        <v>6</v>
      </c>
      <c r="K1493" s="5" t="n">
        <v>3.8</v>
      </c>
      <c r="L1493" s="4" t="n">
        <v>20</v>
      </c>
      <c r="M1493" s="4" t="n">
        <v>6</v>
      </c>
      <c r="N1493" s="5" t="n">
        <v>3.8</v>
      </c>
      <c r="O1493" s="3" t="inlineStr">
        <is>
          <t>홍익대,직장인 1번국도 인접</t>
        </is>
      </c>
      <c r="P1493" s="6">
        <f>HYPERLINK("https://fin.land.naver.com/articles/2652327692", "매물Link")</f>
        <v/>
      </c>
      <c r="Q1493" s="6">
        <f>HYPERLINK("https://map.naver.com/p/search/조치원읍 신안리 168-2", "지도Link")</f>
        <v/>
      </c>
      <c r="R1493" s="6">
        <f>HYPERLINK("http://www.eum.go.kr/web/ar/lu/luLandDet.jsp?pnu=3611025032101680002&amp;isNoScr=script&amp;mode=search",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171.6</v>
      </c>
      <c r="V1493" s="4" t="n">
        <v>190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168-4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30</v>
      </c>
      <c r="H1494" s="4" t="n">
        <v>25</v>
      </c>
      <c r="I1494" s="4" t="n">
        <v>20</v>
      </c>
      <c r="J1494" s="4" t="n">
        <v>6</v>
      </c>
      <c r="K1494" s="5" t="n">
        <v>4.2</v>
      </c>
      <c r="L1494" s="4" t="n">
        <v>20</v>
      </c>
      <c r="M1494" s="4" t="n">
        <v>6</v>
      </c>
      <c r="N1494" s="5" t="n">
        <v>4.2</v>
      </c>
      <c r="O1494" s="3" t="inlineStr">
        <is>
          <t>신안리 홍대국제연수원인근 원룸 즉시 입주가능합니다</t>
        </is>
      </c>
      <c r="P1494" s="6">
        <f>HYPERLINK("https://fin.land.naver.com/articles/2656394975", "매물Link")</f>
        <v/>
      </c>
      <c r="Q1494" s="6">
        <f>HYPERLINK("https://map.naver.com/p/search/조치원읍 신안리 168-4", "지도Link")</f>
        <v/>
      </c>
      <c r="R1494" s="6">
        <f>HYPERLINK("http://www.eum.go.kr/web/ar/lu/luLandDet.jsp?pnu=3611025032101680004&amp;isNoScr=script&amp;mode=search", "토지이음")</f>
        <v/>
      </c>
      <c r="S1494" s="3" t="inlineStr">
        <is>
          <t>OK수</t>
        </is>
      </c>
      <c r="T1494" s="4" t="n">
        <v>1</v>
      </c>
      <c r="U1494" s="5" t="n">
        <v>171.6</v>
      </c>
      <c r="V1494" s="4" t="n">
        <v>217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99</v>
      </c>
      <c r="J1495" s="4" t="n">
        <v>30</v>
      </c>
      <c r="K1495" s="5" t="n">
        <v>550</v>
      </c>
      <c r="L1495" s="4" t="n">
        <v>88</v>
      </c>
      <c r="M1495" s="4" t="n">
        <v>27</v>
      </c>
      <c r="N1495" s="5" t="n">
        <v>611.1</v>
      </c>
      <c r="O1495" s="3" t="inlineStr">
        <is>
          <t>신축빌라,즉시입주가능,주차장 여유로움,올리모델링엘리베이터있음,</t>
        </is>
      </c>
      <c r="P1495" s="6">
        <f>HYPERLINK("https://fin.land.naver.com/articles/2652138880",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179-17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빌라</t>
        </is>
      </c>
      <c r="F1496" s="3" t="inlineStr">
        <is>
          <t>매매</t>
        </is>
      </c>
      <c r="G1496" s="4" t="n">
        <v>16500</v>
      </c>
      <c r="H1496" s="4" t="n">
        <v>0</v>
      </c>
      <c r="I1496" s="4" t="n">
        <v>93</v>
      </c>
      <c r="J1496" s="4" t="n">
        <v>28</v>
      </c>
      <c r="K1496" s="5" t="n">
        <v>589.3</v>
      </c>
      <c r="L1496" s="4" t="n">
        <v>80</v>
      </c>
      <c r="M1496" s="4" t="n">
        <v>24</v>
      </c>
      <c r="N1496" s="5" t="n">
        <v>687.5</v>
      </c>
      <c r="O1496" s="3" t="inlineStr">
        <is>
          <t>전원형 주거지신축빌라, 올리모델링, 급매 1억6500만원, 역세권예정</t>
        </is>
      </c>
      <c r="P1496" s="6">
        <f>HYPERLINK("https://fin.land.naver.com/articles/2651743361", "매물Link")</f>
        <v/>
      </c>
      <c r="Q1496" s="6">
        <f>HYPERLINK("https://map.naver.com/p/search/조치원읍 신안리 179-17", "지도Link")</f>
        <v/>
      </c>
      <c r="R1496" s="6">
        <f>HYPERLINK("http://www.eum.go.kr/web/ar/lu/luLandDet.jsp?pnu=3611025032101790017&amp;isNoScr=script&amp;mode=search", "토지이음")</f>
        <v/>
      </c>
      <c r="S1496" s="3" t="inlineStr">
        <is>
          <t>대한</t>
        </is>
      </c>
      <c r="T1496" s="4" t="n">
        <v>1</v>
      </c>
      <c r="U1496" s="5" t="n">
        <v>171.6</v>
      </c>
      <c r="V1496" s="4" t="n">
        <v>336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179-17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16500</v>
      </c>
      <c r="H1497" s="4" t="n">
        <v>0</v>
      </c>
      <c r="I1497" s="4" t="n">
        <v>383</v>
      </c>
      <c r="J1497" s="4" t="n">
        <v>116</v>
      </c>
      <c r="K1497" s="5" t="n">
        <v>142.2</v>
      </c>
      <c r="L1497" s="4" t="n">
        <v>374</v>
      </c>
      <c r="M1497" s="4" t="n">
        <v>113</v>
      </c>
      <c r="N1497" s="5" t="n">
        <v>146</v>
      </c>
      <c r="O1497" s="3" t="inlineStr">
        <is>
          <t>자연과 어우러진 전원형 빌라주거지 세종시와 청주. 오송방면 이동이편리함</t>
        </is>
      </c>
      <c r="P1497" s="6">
        <f>HYPERLINK("https://fin.land.naver.com/articles/2653251981", "매물Link")</f>
        <v/>
      </c>
      <c r="Q1497" s="6">
        <f>HYPERLINK("https://map.naver.com/p/search/조치원읍 신안리 179-17", "지도Link")</f>
        <v/>
      </c>
      <c r="R1497" s="6">
        <f>HYPERLINK("http://www.eum.go.kr/web/ar/lu/luLandDet.jsp?pnu=3611025032101790017&amp;isNoScr=script&amp;mode=search", "토지이음")</f>
        <v/>
      </c>
      <c r="S1497" s="3" t="inlineStr">
        <is>
          <t>재원</t>
        </is>
      </c>
      <c r="T1497" s="4" t="n">
        <v>1</v>
      </c>
      <c r="U1497" s="5" t="n">
        <v>171.6</v>
      </c>
      <c r="V1497" s="4" t="n">
        <v>336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nan</t>
        </is>
      </c>
      <c r="P1498" s="6">
        <f>HYPERLINK("https://fin.land.naver.com/articles/2656187749",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웰스플랜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신축,즉시입주가능, 홍대근접,엘리베이터 있음 주차장 여유, 조용한 환경</t>
        </is>
      </c>
      <c r="P1499" s="6">
        <f>HYPERLINK("https://fin.land.naver.com/articles/2651286294",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담뜰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179-2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1</t>
        </is>
      </c>
      <c r="E1500" s="3" t="inlineStr">
        <is>
          <t>전원주택</t>
        </is>
      </c>
      <c r="F1500" s="3" t="inlineStr">
        <is>
          <t>매매</t>
        </is>
      </c>
      <c r="G1500" s="4" t="n">
        <v>28000</v>
      </c>
      <c r="H1500" s="4" t="n">
        <v>0</v>
      </c>
      <c r="I1500" s="4" t="n">
        <v>360</v>
      </c>
      <c r="J1500" s="4" t="n">
        <v>109</v>
      </c>
      <c r="K1500" s="5" t="n">
        <v>256.9</v>
      </c>
      <c r="L1500" s="4" t="n">
        <v>61</v>
      </c>
      <c r="M1500" s="4" t="n">
        <v>18</v>
      </c>
      <c r="N1500" s="5" t="n">
        <v>1555.6</v>
      </c>
      <c r="O1500" s="3" t="inlineStr">
        <is>
          <t>세종시 홍익대 주변 농가주택 급매</t>
        </is>
      </c>
      <c r="P1500" s="6">
        <f>HYPERLINK("https://fin.land.naver.com/articles/2652407093", "매물Link")</f>
        <v/>
      </c>
      <c r="Q1500" s="6">
        <f>HYPERLINK("https://map.naver.com/p/search/조치원읍 신안리 179-2", "지도Link")</f>
        <v/>
      </c>
      <c r="R1500" s="6">
        <f>HYPERLINK("http://www.eum.go.kr/web/ar/lu/luLandDet.jsp?pnu=3611025032101790002&amp;isNoScr=script&amp;mode=search", "토지이음")</f>
        <v/>
      </c>
      <c r="S1500" s="3" t="inlineStr">
        <is>
          <t>강우림</t>
        </is>
      </c>
      <c r="T1500" s="4" t="n">
        <v>1</v>
      </c>
      <c r="U1500" s="5" t="n">
        <v>175</v>
      </c>
      <c r="V1500" s="4" t="n">
        <v>360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정방형</t>
        </is>
      </c>
      <c r="AA1500" s="3" t="inlineStr">
        <is>
          <t>세로한면(가)</t>
        </is>
      </c>
    </row>
    <row r="1501">
      <c r="A1501" s="3" t="inlineStr">
        <is>
          <t>조치원읍 신안리 191-6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단독</t>
        </is>
      </c>
      <c r="F1501" s="3" t="inlineStr">
        <is>
          <t>월세</t>
        </is>
      </c>
      <c r="G1501" s="4" t="n">
        <v>50</v>
      </c>
      <c r="H1501" s="4" t="n">
        <v>27</v>
      </c>
      <c r="I1501" s="4" t="n">
        <v>23</v>
      </c>
      <c r="J1501" s="4" t="n">
        <v>7</v>
      </c>
      <c r="K1501" s="5" t="n">
        <v>3.9</v>
      </c>
      <c r="L1501" s="4" t="n">
        <v>23</v>
      </c>
      <c r="M1501" s="4" t="n">
        <v>7</v>
      </c>
      <c r="N1501" s="5" t="n">
        <v>3.9</v>
      </c>
      <c r="O1501" s="3" t="inlineStr">
        <is>
          <t>조치원읍 신안리의 홍익대부근의 저렴한 원룸월세</t>
        </is>
      </c>
      <c r="P1501" s="6">
        <f>HYPERLINK("https://fin.land.naver.com/articles/2655220145", "매물Link")</f>
        <v/>
      </c>
      <c r="Q1501" s="6">
        <f>HYPERLINK("https://map.naver.com/p/search/조치원읍 신안리 191-6", "지도Link")</f>
        <v/>
      </c>
      <c r="R1501" s="6">
        <f>HYPERLINK("http://www.eum.go.kr/web/ar/lu/luLandDet.jsp?pnu=3611025032101910006&amp;isNoScr=script&amp;mode=search", "토지이음")</f>
        <v/>
      </c>
      <c r="S1501" s="3" t="inlineStr">
        <is>
          <t>세종베스트</t>
        </is>
      </c>
      <c r="T1501" s="4" t="n">
        <v>1</v>
      </c>
      <c r="U1501" s="5" t="n">
        <v>164.7</v>
      </c>
      <c r="V1501" s="4" t="n">
        <v>374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세로한면(가)</t>
        </is>
      </c>
    </row>
    <row r="1502">
      <c r="A1502" s="3" t="inlineStr">
        <is>
          <t>조치원읍 신안리 193-10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100</v>
      </c>
      <c r="H1502" s="4" t="n">
        <v>25</v>
      </c>
      <c r="I1502" s="4" t="n">
        <v>23</v>
      </c>
      <c r="J1502" s="4" t="n">
        <v>7</v>
      </c>
      <c r="K1502" s="5" t="n">
        <v>3.6</v>
      </c>
      <c r="L1502" s="4" t="n">
        <v>23</v>
      </c>
      <c r="M1502" s="4" t="n">
        <v>7</v>
      </c>
      <c r="N1502" s="5" t="n">
        <v>3.6</v>
      </c>
      <c r="O1502" s="3" t="inlineStr">
        <is>
          <t>깔끔한 원룸, 홍익대캠퍼스에서 도보 15분거리,</t>
        </is>
      </c>
      <c r="P1502" s="6">
        <f>HYPERLINK("https://fin.land.naver.com/articles/2655200221", "매물Link")</f>
        <v/>
      </c>
      <c r="Q1502" s="6">
        <f>HYPERLINK("https://map.naver.com/p/search/조치원읍 신안리 193-10", "지도Link")</f>
        <v/>
      </c>
      <c r="R1502" s="6">
        <f>HYPERLINK("http://www.eum.go.kr/web/ar/lu/luLandDet.jsp?pnu=3611025032101930010&amp;isNoScr=script&amp;mode=search", "토지이음")</f>
        <v/>
      </c>
      <c r="S1502" s="3" t="inlineStr">
        <is>
          <t>세종베스트</t>
        </is>
      </c>
      <c r="T1502" s="4" t="n">
        <v>1</v>
      </c>
      <c r="U1502" s="5" t="n">
        <v>167.4</v>
      </c>
      <c r="V1502" s="4" t="n">
        <v>195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소로한면</t>
        </is>
      </c>
    </row>
    <row r="1503">
      <c r="A1503" s="3" t="inlineStr">
        <is>
          <t>조치원읍 신안리 197-3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70000</v>
      </c>
      <c r="H1503" s="4" t="n">
        <v>0</v>
      </c>
      <c r="I1503" s="4" t="n">
        <v>595</v>
      </c>
      <c r="J1503" s="4" t="n">
        <v>180</v>
      </c>
      <c r="K1503" s="5" t="n">
        <v>388.9</v>
      </c>
      <c r="L1503" s="4" t="n">
        <v>346</v>
      </c>
      <c r="M1503" s="4" t="n">
        <v>105</v>
      </c>
      <c r="N1503" s="5" t="n">
        <v>666.7</v>
      </c>
      <c r="O1503" s="3" t="inlineStr">
        <is>
          <t>서창역인근,주인세대전세끼고,수익형다가구매매,인근대학교,연수원</t>
        </is>
      </c>
      <c r="P1503" s="6">
        <f>HYPERLINK("https://fin.land.naver.com/articles/2652964849", "매물Link")</f>
        <v/>
      </c>
      <c r="Q1503" s="6">
        <f>HYPERLINK("https://map.naver.com/p/search/조치원읍 신안리 197-3", "지도Link")</f>
        <v/>
      </c>
      <c r="R1503" s="6">
        <f>HYPERLINK("http://www.eum.go.kr/web/ar/lu/luLandDet.jsp?pnu=3611025032101970003&amp;isNoScr=script&amp;mode=search", "토지이음")</f>
        <v/>
      </c>
      <c r="S1503" s="3" t="inlineStr">
        <is>
          <t>에이팩시티지정</t>
        </is>
      </c>
      <c r="T1503" s="4" t="n">
        <v>1</v>
      </c>
      <c r="U1503" s="5" t="n">
        <v>171.6</v>
      </c>
      <c r="V1503" s="4" t="n">
        <v>595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321-61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다가구</t>
        </is>
      </c>
      <c r="F1504" s="3" t="inlineStr">
        <is>
          <t>매매</t>
        </is>
      </c>
      <c r="G1504" s="4" t="n">
        <v>115000</v>
      </c>
      <c r="H1504" s="4" t="n">
        <v>0</v>
      </c>
      <c r="I1504" s="4" t="n">
        <v>190</v>
      </c>
      <c r="J1504" s="4" t="n">
        <v>57</v>
      </c>
      <c r="K1504" s="5" t="n">
        <v>2017.5</v>
      </c>
      <c r="L1504" s="4" t="n">
        <v>285</v>
      </c>
      <c r="M1504" s="4" t="n">
        <v>86</v>
      </c>
      <c r="N1504" s="5" t="n">
        <v>1337.2</v>
      </c>
      <c r="O1504" s="3" t="inlineStr">
        <is>
          <t>홍익대학교 인근 연세 9천만원 나오는 수익률 좋은 신축 다중주택 입니다</t>
        </is>
      </c>
      <c r="P1504" s="6">
        <f>HYPERLINK("https://fin.land.naver.com/articles/2653247118", "매물Link")</f>
        <v/>
      </c>
      <c r="Q1504" s="6">
        <f>HYPERLINK("https://map.naver.com/p/search/조치원읍 신안리 321-61", "지도Link")</f>
        <v/>
      </c>
      <c r="R1504" s="6">
        <f>HYPERLINK("http://www.eum.go.kr/web/ar/lu/luLandDet.jsp?pnu=3611025032103210061&amp;isNoScr=script&amp;mode=search", "토지이음")</f>
        <v/>
      </c>
      <c r="S1504" s="3" t="inlineStr">
        <is>
          <t>스마일세종</t>
        </is>
      </c>
      <c r="T1504" s="4" t="n">
        <v>1</v>
      </c>
      <c r="U1504" s="5" t="n">
        <v>197.5</v>
      </c>
      <c r="V1504" s="4" t="n">
        <v>190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321-63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115000</v>
      </c>
      <c r="H1505" s="4" t="n">
        <v>0</v>
      </c>
      <c r="I1505" s="4" t="n">
        <v>173</v>
      </c>
      <c r="J1505" s="4" t="n">
        <v>52</v>
      </c>
      <c r="K1505" s="5" t="n">
        <v>2211.5</v>
      </c>
      <c r="L1505" s="4" t="n">
        <v>282</v>
      </c>
      <c r="M1505" s="4" t="n">
        <v>85</v>
      </c>
      <c r="N1505" s="5" t="n">
        <v>1352.9</v>
      </c>
      <c r="O1505" s="3" t="inlineStr">
        <is>
          <t>절충가 홍익대학교 인근 연세 9천만원 나오는 풀옵션 신축 다중주택 입니다</t>
        </is>
      </c>
      <c r="P1505" s="6">
        <f>HYPERLINK("https://fin.land.naver.com/articles/2650958724", "매물Link")</f>
        <v/>
      </c>
      <c r="Q1505" s="6">
        <f>HYPERLINK("https://map.naver.com/p/search/조치원읍 신안리 321-63", "지도Link")</f>
        <v/>
      </c>
      <c r="R1505" s="6">
        <f>HYPERLINK("http://www.eum.go.kr/web/ar/lu/luLandDet.jsp?pnu=3611025032103210063&amp;isNoScr=script&amp;mode=search", "토지이음")</f>
        <v/>
      </c>
      <c r="S1505" s="3" t="inlineStr">
        <is>
          <t>스마일세종</t>
        </is>
      </c>
      <c r="T1505" s="4" t="n">
        <v>1</v>
      </c>
      <c r="U1505" s="5" t="n">
        <v>199.5</v>
      </c>
      <c r="V1505" s="4" t="n">
        <v>173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완경사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341-1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단독</t>
        </is>
      </c>
      <c r="F1506" s="3" t="inlineStr">
        <is>
          <t>매매</t>
        </is>
      </c>
      <c r="G1506" s="4" t="n">
        <v>60000</v>
      </c>
      <c r="H1506" s="4" t="n">
        <v>0</v>
      </c>
      <c r="I1506" s="4" t="n">
        <v>271</v>
      </c>
      <c r="J1506" s="4" t="n">
        <v>82</v>
      </c>
      <c r="K1506" s="5" t="n">
        <v>731.7</v>
      </c>
      <c r="L1506" s="4" t="n">
        <v>428</v>
      </c>
      <c r="M1506" s="4" t="n">
        <v>129</v>
      </c>
      <c r="N1506" s="5" t="n">
        <v>465.1</v>
      </c>
      <c r="O1506" s="3" t="inlineStr">
        <is>
          <t>홍익대학생들의  입소문으로만 임대계약완료, 공실걱정 없음</t>
        </is>
      </c>
      <c r="P1506" s="6">
        <f>HYPERLINK("https://fin.land.naver.com/articles/2653284306", "매물Link")</f>
        <v/>
      </c>
      <c r="Q1506" s="6">
        <f>HYPERLINK("https://map.naver.com/p/search/조치원읍 신안리 341-1", "지도Link")</f>
        <v/>
      </c>
      <c r="R1506" s="6">
        <f>HYPERLINK("http://www.eum.go.kr/web/ar/lu/luLandDet.jsp?pnu=3611025032103410001&amp;isNoScr=script&amp;mode=search",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227</v>
      </c>
      <c r="V1506" s="4" t="n">
        <v>271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343-5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230000</v>
      </c>
      <c r="H1507" s="4" t="n">
        <v>0</v>
      </c>
      <c r="I1507" s="4" t="n">
        <v>304</v>
      </c>
      <c r="J1507" s="4" t="n">
        <v>92</v>
      </c>
      <c r="K1507" s="5" t="n">
        <v>2500</v>
      </c>
      <c r="L1507" s="4" t="n">
        <v>331</v>
      </c>
      <c r="M1507" s="4" t="n">
        <v>100</v>
      </c>
      <c r="N1507" s="5" t="n">
        <v>2300</v>
      </c>
      <c r="O1507" s="3" t="inlineStr">
        <is>
          <t>고객만족1위, 앞상가 동시매매,세종시 홍익대, 고려대  인근, 투자 최상</t>
        </is>
      </c>
      <c r="P1507" s="6">
        <f>HYPERLINK("https://fin.land.naver.com/articles/2651986134", "매물Link")</f>
        <v/>
      </c>
      <c r="Q1507" s="6">
        <f>HYPERLINK("https://map.naver.com/p/search/조치원읍 신안리 343-5", "지도Link")</f>
        <v/>
      </c>
      <c r="R1507" s="6">
        <f>HYPERLINK("http://www.eum.go.kr/web/ar/lu/luLandDet.jsp?pnu=3611025032103430005&amp;isNoScr=script&amp;mode=search",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299.6</v>
      </c>
      <c r="V1507" s="4" t="n">
        <v>304</v>
      </c>
      <c r="W1507" s="3" t="inlineStr">
        <is>
          <t>지정되지않음</t>
        </is>
      </c>
      <c r="X1507" s="3" t="inlineStr">
        <is>
          <t>주상용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346-18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95000</v>
      </c>
      <c r="H1508" s="4" t="n">
        <v>0</v>
      </c>
      <c r="I1508" s="4" t="n">
        <v>311</v>
      </c>
      <c r="J1508" s="4" t="n">
        <v>94</v>
      </c>
      <c r="K1508" s="5" t="n">
        <v>1010.6</v>
      </c>
      <c r="L1508" s="4" t="n">
        <v>455</v>
      </c>
      <c r="M1508" s="4" t="n">
        <v>138</v>
      </c>
      <c r="N1508" s="5" t="n">
        <v>688.4</v>
      </c>
      <c r="O1508" s="3" t="inlineStr">
        <is>
          <t>nan</t>
        </is>
      </c>
      <c r="P1508" s="6">
        <f>HYPERLINK("https://fin.land.naver.com/articles/2654389716", "매물Link")</f>
        <v/>
      </c>
      <c r="Q1508" s="6">
        <f>HYPERLINK("https://map.naver.com/p/search/조치원읍 신안리 346-18", "지도Link")</f>
        <v/>
      </c>
      <c r="R1508" s="6">
        <f>HYPERLINK("http://www.eum.go.kr/web/ar/lu/luLandDet.jsp?pnu=3611025032103460018&amp;isNoScr=script&amp;mode=search",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204</v>
      </c>
      <c r="V1508" s="4" t="n">
        <v>311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353-19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3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72500</v>
      </c>
      <c r="H1509" s="4" t="n">
        <v>0</v>
      </c>
      <c r="I1509" s="4" t="n">
        <v>156</v>
      </c>
      <c r="J1509" s="4" t="n">
        <v>47</v>
      </c>
      <c r="K1509" s="5" t="n">
        <v>1542.6</v>
      </c>
      <c r="L1509" s="4" t="n">
        <v>264</v>
      </c>
      <c r="M1509" s="4" t="n">
        <v>80</v>
      </c>
      <c r="N1509" s="5" t="n">
        <v>906.2</v>
      </c>
      <c r="O1509" s="3" t="inlineStr">
        <is>
          <t>고객만족1위, 홍익대부근세종캠, 고려대근방세종캠, 조치원역 부근</t>
        </is>
      </c>
      <c r="P1509" s="6">
        <f>HYPERLINK("https://fin.land.naver.com/articles/2651992800", "매물Link")</f>
        <v/>
      </c>
      <c r="Q1509" s="6">
        <f>HYPERLINK("https://map.naver.com/p/search/조치원읍 신안리 353-19", "지도Link")</f>
        <v/>
      </c>
      <c r="R1509" s="6">
        <f>HYPERLINK("http://www.eum.go.kr/web/ar/lu/luLandDet.jsp?pnu=3611025032103530019&amp;isNoScr=script&amp;mode=search", "토지이음")</f>
        <v/>
      </c>
      <c r="S1509" s="3" t="inlineStr">
        <is>
          <t>생생</t>
        </is>
      </c>
      <c r="T1509" s="4" t="n">
        <v>1</v>
      </c>
      <c r="U1509" s="5" t="n">
        <v>210.3</v>
      </c>
      <c r="V1509" s="4" t="n">
        <v>156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354-40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90000</v>
      </c>
      <c r="H1510" s="4" t="n">
        <v>0</v>
      </c>
      <c r="I1510" s="4" t="n">
        <v>347</v>
      </c>
      <c r="J1510" s="4" t="n">
        <v>105</v>
      </c>
      <c r="K1510" s="5" t="n">
        <v>857.1</v>
      </c>
      <c r="L1510" s="4" t="n">
        <v>615</v>
      </c>
      <c r="M1510" s="4" t="n">
        <v>186</v>
      </c>
      <c r="N1510" s="5" t="n">
        <v>483.9</v>
      </c>
      <c r="O1510" s="3" t="inlineStr">
        <is>
          <t>대학생들에게 인기 있고 관리가 잘된 원룸입니다.</t>
        </is>
      </c>
      <c r="P1510" s="6">
        <f>HYPERLINK("https://fin.land.naver.com/articles/2653291133", "매물Link")</f>
        <v/>
      </c>
      <c r="Q1510" s="6">
        <f>HYPERLINK("https://map.naver.com/p/search/조치원읍 신안리 354-40", "지도Link")</f>
        <v/>
      </c>
      <c r="R1510" s="6">
        <f>HYPERLINK("http://www.eum.go.kr/web/ar/lu/luLandDet.jsp?pnu=3611025032103540040&amp;isNoScr=script&amp;mode=search",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204</v>
      </c>
      <c r="V1510" s="4" t="n">
        <v>273</v>
      </c>
      <c r="W1510" s="3" t="inlineStr">
        <is>
          <t>지정되지않음</t>
        </is>
      </c>
      <c r="X1510" s="3" t="inlineStr">
        <is>
          <t>다세대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세로한면(가)</t>
        </is>
      </c>
    </row>
    <row r="1511">
      <c r="A1511" s="3" t="inlineStr">
        <is>
          <t>조치원읍 신안리 355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전세</t>
        </is>
      </c>
      <c r="G1511" s="4" t="n">
        <v>15000</v>
      </c>
      <c r="H1511" s="4" t="n">
        <v>0</v>
      </c>
      <c r="I1511" s="4" t="n">
        <v>120</v>
      </c>
      <c r="J1511" s="4" t="n">
        <v>36</v>
      </c>
      <c r="K1511" s="5" t="n">
        <v>416.7</v>
      </c>
      <c r="L1511" s="4" t="n">
        <v>120</v>
      </c>
      <c r="M1511" s="4" t="n">
        <v>36</v>
      </c>
      <c r="N1511" s="5" t="n">
        <v>416.7</v>
      </c>
      <c r="O1511" s="3" t="inlineStr">
        <is>
          <t>주인세대, 태양광 설치로 인한 저렴한 전기세</t>
        </is>
      </c>
      <c r="P1511" s="6">
        <f>HYPERLINK("https://fin.land.naver.com/articles/2654012470", "매물Link")</f>
        <v/>
      </c>
      <c r="Q1511" s="6">
        <f>HYPERLINK("https://map.naver.com/p/search/조치원읍 신안리 355", "지도Link")</f>
        <v/>
      </c>
      <c r="R1511" s="6">
        <f>HYPERLINK("http://www.eum.go.kr/web/ar/lu/luLandDet.jsp?pnu=3611025032103550000&amp;isNoScr=script&amp;mode=search",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351.4</v>
      </c>
      <c r="V1511" s="4" t="n">
        <v>359</v>
      </c>
      <c r="W1511" s="3" t="inlineStr">
        <is>
          <t>지정되지않음</t>
        </is>
      </c>
      <c r="X1511" s="3" t="inlineStr">
        <is>
          <t>주상기타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중로한면</t>
        </is>
      </c>
    </row>
    <row r="1512">
      <c r="A1512" s="3" t="inlineStr">
        <is>
          <t>조치원읍 신안리 355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단독</t>
        </is>
      </c>
      <c r="F1512" s="3" t="inlineStr">
        <is>
          <t>전세</t>
        </is>
      </c>
      <c r="G1512" s="4" t="n">
        <v>15000</v>
      </c>
      <c r="H1512" s="4" t="n">
        <v>0</v>
      </c>
      <c r="I1512" s="4" t="n">
        <v>0</v>
      </c>
      <c r="J1512" s="4" t="n">
        <v>0</v>
      </c>
      <c r="K1512" s="5" t="n">
        <v>0</v>
      </c>
      <c r="L1512" s="4" t="n">
        <v>120</v>
      </c>
      <c r="M1512" s="4" t="n">
        <v>36</v>
      </c>
      <c r="N1512" s="5" t="n">
        <v>416.7</v>
      </c>
      <c r="O1512" s="3" t="inlineStr">
        <is>
          <t>엘리베이터 있고 화장실2개 주인세대 남향, 태양광설치</t>
        </is>
      </c>
      <c r="P1512" s="6">
        <f>HYPERLINK("https://fin.land.naver.com/articles/2654594543", "매물Link")</f>
        <v/>
      </c>
      <c r="Q1512" s="6">
        <f>HYPERLINK("https://map.naver.com/p/search/조치원읍 신안리 355", "지도Link")</f>
        <v/>
      </c>
      <c r="R1512" s="6">
        <f>HYPERLINK("http://www.eum.go.kr/web/ar/lu/luLandDet.jsp?pnu=3611025032103550000&amp;isNoScr=script&amp;mode=search", "토지이음")</f>
        <v/>
      </c>
      <c r="S1512" s="3" t="inlineStr">
        <is>
          <t>부자터</t>
        </is>
      </c>
      <c r="T1512" s="4" t="n">
        <v>1</v>
      </c>
      <c r="U1512" s="5" t="n">
        <v>351.4</v>
      </c>
      <c r="V1512" s="4" t="n">
        <v>359</v>
      </c>
      <c r="W1512" s="3" t="inlineStr">
        <is>
          <t>지정되지않음</t>
        </is>
      </c>
      <c r="X1512" s="3" t="inlineStr">
        <is>
          <t>주상기타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중로한면</t>
        </is>
      </c>
    </row>
    <row r="1513">
      <c r="A1513" s="3" t="inlineStr">
        <is>
          <t>조치원읍 신안리 373-1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80000</v>
      </c>
      <c r="H1513" s="4" t="n">
        <v>0</v>
      </c>
      <c r="I1513" s="4" t="n">
        <v>537</v>
      </c>
      <c r="J1513" s="4" t="n">
        <v>162</v>
      </c>
      <c r="K1513" s="5" t="n">
        <v>493.8</v>
      </c>
      <c r="L1513" s="4" t="n">
        <v>521</v>
      </c>
      <c r="M1513" s="4" t="n">
        <v>158</v>
      </c>
      <c r="N1513" s="5" t="n">
        <v>506.3</v>
      </c>
      <c r="O1513" s="3" t="inlineStr">
        <is>
          <t>nan</t>
        </is>
      </c>
      <c r="P1513" s="6">
        <f>HYPERLINK("https://fin.land.naver.com/articles/2654390057", "매물Link")</f>
        <v/>
      </c>
      <c r="Q1513" s="6">
        <f>HYPERLINK("https://map.naver.com/p/search/조치원읍 신안리 373-1", "지도Link")</f>
        <v/>
      </c>
      <c r="R1513" s="6">
        <f>HYPERLINK("http://www.eum.go.kr/web/ar/lu/luLandDet.jsp?pnu=3611025032103730001&amp;isNoScr=script&amp;mode=search", "토지이음")</f>
        <v/>
      </c>
      <c r="S1513" s="3" t="inlineStr">
        <is>
          <t>척척</t>
        </is>
      </c>
      <c r="T1513" s="4" t="n">
        <v>1</v>
      </c>
      <c r="U1513" s="5" t="n">
        <v>197.1</v>
      </c>
      <c r="V1513" s="4" t="n">
        <v>588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자루형</t>
        </is>
      </c>
      <c r="AA1513" s="3" t="inlineStr">
        <is>
          <t>세로한면(불)</t>
        </is>
      </c>
    </row>
    <row r="1514">
      <c r="A1514" s="3" t="inlineStr">
        <is>
          <t>조치원읍 신안리 383-13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188</v>
      </c>
      <c r="J1514" s="4" t="n">
        <v>57</v>
      </c>
      <c r="K1514" s="5" t="n">
        <v>789.5</v>
      </c>
      <c r="L1514" s="4" t="n">
        <v>326</v>
      </c>
      <c r="M1514" s="4" t="n">
        <v>99</v>
      </c>
      <c r="N1514" s="5" t="n">
        <v>454.5</v>
      </c>
      <c r="O1514" s="3" t="inlineStr">
        <is>
          <t>리모델링 원룸 매매</t>
        </is>
      </c>
      <c r="P1514" s="6">
        <f>HYPERLINK("https://fin.land.naver.com/articles/2654217692", "매물Link")</f>
        <v/>
      </c>
      <c r="Q1514" s="6">
        <f>HYPERLINK("https://map.naver.com/p/search/조치원읍 신안리 383-13", "지도Link")</f>
        <v/>
      </c>
      <c r="R1514" s="6">
        <f>HYPERLINK("http://www.eum.go.kr/web/ar/lu/luLandDet.jsp?pnu=3611025032103830013&amp;isNoScr=script&amp;mode=search",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208.6</v>
      </c>
      <c r="V1514" s="4" t="n">
        <v>188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세로각지(가)</t>
        </is>
      </c>
    </row>
    <row r="1515">
      <c r="A1515" s="3" t="inlineStr">
        <is>
          <t>조치원읍 신안리 383-8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45000</v>
      </c>
      <c r="H1515" s="4" t="n">
        <v>0</v>
      </c>
      <c r="I1515" s="4" t="n">
        <v>314</v>
      </c>
      <c r="J1515" s="4" t="n">
        <v>95</v>
      </c>
      <c r="K1515" s="5" t="n">
        <v>473.7</v>
      </c>
      <c r="L1515" s="4" t="n">
        <v>224</v>
      </c>
      <c r="M1515" s="4" t="n">
        <v>68</v>
      </c>
      <c r="N1515" s="5" t="n">
        <v>661.8</v>
      </c>
      <c r="O1515" s="3" t="inlineStr">
        <is>
          <t>남향, 고려대홍익대 인근 대지 넓은 2층 단독주택</t>
        </is>
      </c>
      <c r="P1515" s="6">
        <f>HYPERLINK("https://fin.land.naver.com/articles/2653295743", "매물Link")</f>
        <v/>
      </c>
      <c r="Q1515" s="6">
        <f>HYPERLINK("https://map.naver.com/p/search/조치원읍 신안리 383-8", "지도Link")</f>
        <v/>
      </c>
      <c r="R1515" s="6">
        <f>HYPERLINK("http://www.eum.go.kr/web/ar/lu/luLandDet.jsp?pnu=3611025032103830008&amp;isNoScr=script&amp;mode=search",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200.1</v>
      </c>
      <c r="V1515" s="4" t="n">
        <v>302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384-2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매매</t>
        </is>
      </c>
      <c r="G1516" s="4" t="n">
        <v>35000</v>
      </c>
      <c r="H1516" s="4" t="n">
        <v>0</v>
      </c>
      <c r="I1516" s="4" t="n">
        <v>230</v>
      </c>
      <c r="J1516" s="4" t="n">
        <v>70</v>
      </c>
      <c r="K1516" s="5" t="n">
        <v>500</v>
      </c>
      <c r="L1516" s="4" t="n">
        <v>156</v>
      </c>
      <c r="M1516" s="4" t="n">
        <v>47</v>
      </c>
      <c r="N1516" s="5" t="n">
        <v>744.7</v>
      </c>
      <c r="O1516" s="3" t="inlineStr">
        <is>
          <t>세종시 홍익대 고려대 홍익대정책연구원 인근</t>
        </is>
      </c>
      <c r="P1516" s="6">
        <f>HYPERLINK("https://fin.land.naver.com/articles/2655447931", "매물Link")</f>
        <v/>
      </c>
      <c r="Q1516" s="6">
        <f>HYPERLINK("https://map.naver.com/p/search/조치원읍 신안리 384-2", "지도Link")</f>
        <v/>
      </c>
      <c r="R1516" s="6">
        <f>HYPERLINK("http://www.eum.go.kr/web/ar/lu/luLandDet.jsp?pnu=3611025032103840002&amp;isNoScr=script&amp;mode=search", "토지이음")</f>
        <v/>
      </c>
      <c r="S1516" s="3" t="inlineStr">
        <is>
          <t>서울(단지내)</t>
        </is>
      </c>
      <c r="T1516" s="4" t="n">
        <v>1</v>
      </c>
      <c r="U1516" s="5" t="n">
        <v>206.8</v>
      </c>
      <c r="V1516" s="4" t="n">
        <v>252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세로각지(가)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nan</t>
        </is>
      </c>
      <c r="P1517" s="6">
        <f>HYPERLINK("https://fin.land.naver.com/articles/2654390565",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홍익대학교, 고려대학교 후문쪽 위치, 공실없음</t>
        </is>
      </c>
      <c r="P1518" s="6">
        <f>HYPERLINK("https://fin.land.naver.com/articles/2653295120",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단독</t>
        </is>
      </c>
      <c r="F1522" s="3" t="inlineStr">
        <is>
          <t>매매</t>
        </is>
      </c>
      <c r="G1522" s="4" t="n">
        <v>107000</v>
      </c>
      <c r="H1522" s="4" t="n">
        <v>0</v>
      </c>
      <c r="I1522" s="4" t="n">
        <v>351</v>
      </c>
      <c r="J1522" s="4" t="n">
        <v>106</v>
      </c>
      <c r="K1522" s="5" t="n">
        <v>1009.4</v>
      </c>
      <c r="L1522" s="4" t="n">
        <v>594</v>
      </c>
      <c r="M1522" s="4" t="n">
        <v>180</v>
      </c>
      <c r="N1522" s="5" t="n">
        <v>594.4</v>
      </c>
      <c r="O1522" s="3" t="inlineStr">
        <is>
          <t>고대홍대 매년 공실X 수익율 좋은 다가구</t>
        </is>
      </c>
      <c r="P1522" s="6">
        <f>HYPERLINK("https://fin.land.naver.com/articles/2653790098",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무지개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110000</v>
      </c>
      <c r="H1524" s="4" t="n">
        <v>0</v>
      </c>
      <c r="I1524" s="4" t="n">
        <v>351</v>
      </c>
      <c r="J1524" s="4" t="n">
        <v>106</v>
      </c>
      <c r="K1524" s="5" t="n">
        <v>1037.7</v>
      </c>
      <c r="L1524" s="4" t="n">
        <v>594</v>
      </c>
      <c r="M1524" s="4" t="n">
        <v>180</v>
      </c>
      <c r="N1524" s="5" t="n">
        <v>611.1</v>
      </c>
      <c r="O1524" s="3" t="inlineStr">
        <is>
          <t>고대와 홍대사이의 인기있는 원룸으로 공실없음</t>
        </is>
      </c>
      <c r="P1524" s="6">
        <f>HYPERLINK("https://fin.land.naver.com/articles/2653294943",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100000</v>
      </c>
      <c r="H1533" s="4" t="n">
        <v>0</v>
      </c>
      <c r="I1533" s="4" t="n">
        <v>218</v>
      </c>
      <c r="J1533" s="4" t="n">
        <v>66</v>
      </c>
      <c r="K1533" s="5" t="n">
        <v>1515.2</v>
      </c>
      <c r="L1533" s="4" t="n">
        <v>316</v>
      </c>
      <c r="M1533" s="4" t="n">
        <v>96</v>
      </c>
      <c r="N1533" s="5" t="n">
        <v>1041.7</v>
      </c>
      <c r="O1533" s="3" t="inlineStr">
        <is>
          <t>＆조치원읍 신안리 홍익대 번화가 분리형 원룸 통매매＆</t>
        </is>
      </c>
      <c r="P1533" s="6">
        <f>HYPERLINK("https://fin.land.naver.com/articles/2655957516", "매물Link")</f>
        <v/>
      </c>
      <c r="Q1533" s="6">
        <f>HYPERLINK("https://map.naver.com/p/search/조치원읍 신안리 432-2", "지도Link")</f>
        <v/>
      </c>
      <c r="R1533" s="6">
        <f>HYPERLINK("http://www.eum.go.kr/web/ar/lu/luLandDet.jsp?pnu=3611025032104320002&amp;isNoScr=script&amp;mode=search", "토지이음")</f>
        <v/>
      </c>
      <c r="S1533" s="3" t="inlineStr">
        <is>
          <t>현담</t>
        </is>
      </c>
      <c r="T1533" s="4" t="n">
        <v>1</v>
      </c>
      <c r="U1533" s="5" t="n">
        <v>261.3</v>
      </c>
      <c r="V1533" s="4" t="n">
        <v>218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106</t>
        </is>
      </c>
      <c r="B1534" s="3" t="inlineStr">
        <is>
          <t>제3종일반주거지역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주공신흥</t>
        </is>
      </c>
      <c r="F1534" s="3" t="inlineStr">
        <is>
          <t>매매</t>
        </is>
      </c>
      <c r="G1534" s="4" t="n">
        <v>37000</v>
      </c>
      <c r="H1534" s="4" t="n">
        <v>0</v>
      </c>
      <c r="I1534" s="4" t="n">
        <v>73</v>
      </c>
      <c r="J1534" s="4" t="n">
        <v>22</v>
      </c>
      <c r="K1534" s="5" t="n">
        <v>1681.8</v>
      </c>
      <c r="L1534" s="4" t="n">
        <v>67</v>
      </c>
      <c r="M1534" s="4" t="n">
        <v>20</v>
      </c>
      <c r="N1534" s="5" t="n">
        <v>1850</v>
      </c>
      <c r="O1534" s="3" t="inlineStr">
        <is>
          <t>전세3500거주중,재건축단지</t>
        </is>
      </c>
      <c r="P1534" s="6">
        <f>HYPERLINK("https://fin.land.naver.com/articles/2653381041", "매물Link")</f>
        <v/>
      </c>
      <c r="Q1534" s="6">
        <f>HYPERLINK("https://map.naver.com/p/search/조치원읍 신흥리 106", "지도Link")</f>
        <v/>
      </c>
      <c r="R1534" s="6">
        <f>HYPERLINK("http://www.eum.go.kr/web/ar/lu/luLandDet.jsp?pnu=3611025029101060000&amp;isNoScr=script&amp;mode=search", "토지이음")</f>
        <v/>
      </c>
      <c r="S1534" s="3" t="inlineStr">
        <is>
          <t>다산</t>
        </is>
      </c>
      <c r="T1534" s="4" t="n">
        <v>1</v>
      </c>
      <c r="U1534" s="5" t="n">
        <v>287</v>
      </c>
      <c r="V1534" s="4" t="n">
        <v>15250</v>
      </c>
      <c r="W1534" s="3" t="inlineStr">
        <is>
          <t>제2종일반주거지역</t>
        </is>
      </c>
      <c r="X1534" s="3" t="inlineStr">
        <is>
          <t>아파트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광대소각</t>
        </is>
      </c>
    </row>
    <row r="1535">
      <c r="A1535" s="3" t="inlineStr">
        <is>
          <t>조치원읍 신흥리 106</t>
        </is>
      </c>
      <c r="B1535" s="3" t="inlineStr">
        <is>
          <t>제3종일반주거지역</t>
        </is>
      </c>
      <c r="C1535" s="3" t="inlineStr">
        <is>
          <t>대</t>
        </is>
      </c>
      <c r="D1535" s="3" t="inlineStr">
        <is>
          <t>2</t>
        </is>
      </c>
      <c r="E1535" s="3" t="inlineStr">
        <is>
          <t>연립</t>
        </is>
      </c>
      <c r="F1535" s="3" t="inlineStr">
        <is>
          <t>월세</t>
        </is>
      </c>
      <c r="G1535" s="4" t="n">
        <v>1000</v>
      </c>
      <c r="H1535" s="4" t="n">
        <v>40</v>
      </c>
      <c r="I1535" s="4" t="n">
        <v>67</v>
      </c>
      <c r="J1535" s="4" t="n">
        <v>20</v>
      </c>
      <c r="K1535" s="5" t="n">
        <v>2</v>
      </c>
      <c r="L1535" s="4" t="n">
        <v>67</v>
      </c>
      <c r="M1535" s="4" t="n">
        <v>20</v>
      </c>
      <c r="N1535" s="5" t="n">
        <v>2</v>
      </c>
      <c r="O1535" s="3" t="inlineStr">
        <is>
          <t>상태양호 즉시입주</t>
        </is>
      </c>
      <c r="P1535" s="6">
        <f>HYPERLINK("https://fin.land.naver.com/articles/2656385075", "매물Link")</f>
        <v/>
      </c>
      <c r="Q1535" s="6">
        <f>HYPERLINK("https://map.naver.com/p/search/조치원읍 신흥리 106", "지도Link")</f>
        <v/>
      </c>
      <c r="R1535" s="6">
        <f>HYPERLINK("http://www.eum.go.kr/web/ar/lu/luLandDet.jsp?pnu=3611025029101060000&amp;isNoScr=script&amp;mode=search", "토지이음")</f>
        <v/>
      </c>
      <c r="S1535" s="3" t="inlineStr">
        <is>
          <t>골드</t>
        </is>
      </c>
      <c r="T1535" s="4" t="n">
        <v>1</v>
      </c>
      <c r="U1535" s="5" t="n">
        <v>287</v>
      </c>
      <c r="V1535" s="4" t="n">
        <v>15250</v>
      </c>
      <c r="W1535" s="3" t="inlineStr">
        <is>
          <t>제2종일반주거지역</t>
        </is>
      </c>
      <c r="X1535" s="3" t="inlineStr">
        <is>
          <t>아파트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광대소각</t>
        </is>
      </c>
    </row>
    <row r="1536">
      <c r="A1536" s="3" t="inlineStr">
        <is>
          <t>조치원읍 신흥리 106</t>
        </is>
      </c>
      <c r="B1536" s="3" t="inlineStr">
        <is>
          <t>제3종일반주거지역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주공신흥</t>
        </is>
      </c>
      <c r="F1536" s="3" t="inlineStr">
        <is>
          <t>매매</t>
        </is>
      </c>
      <c r="G1536" s="4" t="n">
        <v>30000</v>
      </c>
      <c r="H1536" s="4" t="n">
        <v>0</v>
      </c>
      <c r="I1536" s="4" t="n">
        <v>62</v>
      </c>
      <c r="J1536" s="4" t="n">
        <v>19</v>
      </c>
      <c r="K1536" s="5" t="n">
        <v>1578.9</v>
      </c>
      <c r="L1536" s="4" t="n">
        <v>57</v>
      </c>
      <c r="M1536" s="4" t="n">
        <v>17</v>
      </c>
      <c r="N1536" s="5" t="n">
        <v>1764.7</v>
      </c>
      <c r="O1536" s="3" t="inlineStr">
        <is>
          <t>재건축단지,공실,입주가능</t>
        </is>
      </c>
      <c r="P1536" s="6">
        <f>HYPERLINK("https://fin.land.naver.com/articles/2652978926", "매물Link")</f>
        <v/>
      </c>
      <c r="Q1536" s="6">
        <f>HYPERLINK("https://map.naver.com/p/search/조치원읍 신흥리 106", "지도Link")</f>
        <v/>
      </c>
      <c r="R1536" s="6">
        <f>HYPERLINK("http://www.eum.go.kr/web/ar/lu/luLandDet.jsp?pnu=3611025029101060000&amp;isNoScr=script&amp;mode=search", "토지이음")</f>
        <v/>
      </c>
      <c r="S1536" s="3" t="inlineStr">
        <is>
          <t>다산</t>
        </is>
      </c>
      <c r="T1536" s="4" t="n">
        <v>1</v>
      </c>
      <c r="U1536" s="5" t="n">
        <v>287</v>
      </c>
      <c r="V1536" s="4" t="n">
        <v>15250</v>
      </c>
      <c r="W1536" s="3" t="inlineStr">
        <is>
          <t>제2종일반주거지역</t>
        </is>
      </c>
      <c r="X1536" s="3" t="inlineStr">
        <is>
          <t>아파트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광대소각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주공신흥</t>
        </is>
      </c>
      <c r="F1537" s="3" t="inlineStr">
        <is>
          <t>월세</t>
        </is>
      </c>
      <c r="G1537" s="4" t="n">
        <v>1000</v>
      </c>
      <c r="H1537" s="4" t="n">
        <v>40</v>
      </c>
      <c r="I1537" s="4" t="n">
        <v>73</v>
      </c>
      <c r="J1537" s="4" t="n">
        <v>22</v>
      </c>
      <c r="K1537" s="5" t="n">
        <v>1.8</v>
      </c>
      <c r="L1537" s="4" t="n">
        <v>67</v>
      </c>
      <c r="M1537" s="4" t="n">
        <v>20</v>
      </c>
      <c r="N1537" s="5" t="n">
        <v>2</v>
      </c>
      <c r="O1537" s="3" t="inlineStr">
        <is>
          <t>상태양호,즉시입주,보증금 조절가능합니다.</t>
        </is>
      </c>
      <c r="P1537" s="6">
        <f>HYPERLINK("https://fin.land.naver.com/articles/2654454354",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신안무소</t>
        </is>
      </c>
      <c r="T1537" s="4" t="n">
        <v>3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17000</v>
      </c>
      <c r="H1538" s="4" t="n">
        <v>0</v>
      </c>
      <c r="I1538" s="4" t="n">
        <v>59</v>
      </c>
      <c r="J1538" s="4" t="n">
        <v>18</v>
      </c>
      <c r="K1538" s="5" t="n">
        <v>944.4</v>
      </c>
      <c r="L1538" s="4" t="n">
        <v>55</v>
      </c>
      <c r="M1538" s="4" t="n">
        <v>17</v>
      </c>
      <c r="N1538" s="5" t="n">
        <v>1000</v>
      </c>
      <c r="O1538" s="3" t="inlineStr">
        <is>
          <t>급매, 실입주 가능</t>
        </is>
      </c>
      <c r="P1538" s="6">
        <f>HYPERLINK("https://fin.land.naver.com/articles/2654897368",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73</v>
      </c>
      <c r="J1539" s="4" t="n">
        <v>22</v>
      </c>
      <c r="K1539" s="5" t="n">
        <v>1363.6</v>
      </c>
      <c r="L1539" s="4" t="n">
        <v>67</v>
      </c>
      <c r="M1539" s="4" t="n">
        <v>20</v>
      </c>
      <c r="N1539" s="5" t="n">
        <v>1500</v>
      </c>
      <c r="O1539" s="3" t="inlineStr">
        <is>
          <t>급매,실입주가능</t>
        </is>
      </c>
      <c r="P1539" s="6">
        <f>HYPERLINK("https://fin.land.naver.com/articles/2655081755",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2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25000</v>
      </c>
      <c r="H1540" s="4" t="n">
        <v>0</v>
      </c>
      <c r="I1540" s="4" t="n">
        <v>73</v>
      </c>
      <c r="J1540" s="4" t="n">
        <v>22</v>
      </c>
      <c r="K1540" s="5" t="n">
        <v>1136.4</v>
      </c>
      <c r="L1540" s="4" t="n">
        <v>67</v>
      </c>
      <c r="M1540" s="4" t="n">
        <v>20</v>
      </c>
      <c r="N1540" s="5" t="n">
        <v>1250</v>
      </c>
      <c r="O1540" s="3" t="inlineStr">
        <is>
          <t>재건축 진행 중,등급 상향으로 용적률 높아짐,미래 가치에 투자하세요</t>
        </is>
      </c>
      <c r="P1540" s="6">
        <f>HYPERLINK("https://fin.land.naver.com/articles/2655148914",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유정희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주공신흥</t>
        </is>
      </c>
      <c r="F1541" s="3" t="inlineStr">
        <is>
          <t>월세</t>
        </is>
      </c>
      <c r="G1541" s="4" t="n">
        <v>3000</v>
      </c>
      <c r="H1541" s="4" t="n">
        <v>25</v>
      </c>
      <c r="I1541" s="4" t="n">
        <v>62</v>
      </c>
      <c r="J1541" s="4" t="n">
        <v>19</v>
      </c>
      <c r="K1541" s="5" t="n">
        <v>1.3</v>
      </c>
      <c r="L1541" s="4" t="n">
        <v>57</v>
      </c>
      <c r="M1541" s="4" t="n">
        <v>17</v>
      </c>
      <c r="N1541" s="5" t="n">
        <v>1.5</v>
      </c>
      <c r="O1541" s="3" t="inlineStr">
        <is>
          <t>남향 즉시입주 에어컨 있음</t>
        </is>
      </c>
      <c r="P1541" s="6">
        <f>HYPERLINK("https://fin.land.naver.com/articles/2655927746",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욱일</t>
        </is>
      </c>
      <c r="T1541" s="4" t="n">
        <v>3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11-10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단독</t>
        </is>
      </c>
      <c r="F1542" s="3" t="inlineStr">
        <is>
          <t>매매</t>
        </is>
      </c>
      <c r="G1542" s="4" t="n">
        <v>24000</v>
      </c>
      <c r="H1542" s="4" t="n">
        <v>0</v>
      </c>
      <c r="I1542" s="4" t="n">
        <v>160</v>
      </c>
      <c r="J1542" s="4" t="n">
        <v>48</v>
      </c>
      <c r="K1542" s="5" t="n">
        <v>500</v>
      </c>
      <c r="L1542" s="4" t="n">
        <v>62</v>
      </c>
      <c r="M1542" s="4" t="n">
        <v>19</v>
      </c>
      <c r="N1542" s="5" t="n">
        <v>1263.2</v>
      </c>
      <c r="O1542" s="3" t="inlineStr">
        <is>
          <t>남향. 도시가스. 신흥사랑주택 앞 최근 리모델링 완료한 단독주택 매매.</t>
        </is>
      </c>
      <c r="P1542" s="6">
        <f>HYPERLINK("https://fin.land.naver.com/articles/2652914628", "매물Link")</f>
        <v/>
      </c>
      <c r="Q1542" s="6">
        <f>HYPERLINK("https://map.naver.com/p/search/조치원읍 신흥리 11-10", "지도Link")</f>
        <v/>
      </c>
      <c r="R1542" s="6">
        <f>HYPERLINK("http://www.eum.go.kr/web/ar/lu/luLandDet.jsp?pnu=3611025029100110010&amp;isNoScr=script&amp;mode=search", "토지이음")</f>
        <v/>
      </c>
      <c r="S1542" s="3" t="inlineStr">
        <is>
          <t>세종대장</t>
        </is>
      </c>
      <c r="T1542" s="4" t="n">
        <v>1</v>
      </c>
      <c r="U1542" s="5" t="n">
        <v>182.9</v>
      </c>
      <c r="V1542" s="4" t="n">
        <v>160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신흥리 11-14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단독</t>
        </is>
      </c>
      <c r="F1543" s="3" t="inlineStr">
        <is>
          <t>매매</t>
        </is>
      </c>
      <c r="G1543" s="4" t="n">
        <v>22000</v>
      </c>
      <c r="H1543" s="4" t="n">
        <v>0</v>
      </c>
      <c r="I1543" s="4" t="n">
        <v>184</v>
      </c>
      <c r="J1543" s="4" t="n">
        <v>56</v>
      </c>
      <c r="K1543" s="5" t="n">
        <v>392.9</v>
      </c>
      <c r="L1543" s="4" t="n">
        <v>65</v>
      </c>
      <c r="M1543" s="4" t="n">
        <v>20</v>
      </c>
      <c r="N1543" s="5" t="n">
        <v>1100</v>
      </c>
      <c r="O1543" s="3" t="inlineStr">
        <is>
          <t>단독주택이며 주차장은 별도로 없어서 각자 집 앞에 주차합니다.</t>
        </is>
      </c>
      <c r="P1543" s="6">
        <f>HYPERLINK("https://fin.land.naver.com/articles/2655357933", "매물Link")</f>
        <v/>
      </c>
      <c r="Q1543" s="6">
        <f>HYPERLINK("https://map.naver.com/p/search/조치원읍 신흥리 11-14", "지도Link")</f>
        <v/>
      </c>
      <c r="R1543" s="6">
        <f>HYPERLINK("http://www.eum.go.kr/web/ar/lu/luLandDet.jsp?pnu=3611025029100110014&amp;isNoScr=script&amp;mode=search", "토지이음")</f>
        <v/>
      </c>
      <c r="S1543" s="3" t="inlineStr">
        <is>
          <t>이순이</t>
        </is>
      </c>
      <c r="T1543" s="4" t="n">
        <v>1</v>
      </c>
      <c r="U1543" s="5" t="n">
        <v>156.5</v>
      </c>
      <c r="V1543" s="4" t="n">
        <v>184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자루형</t>
        </is>
      </c>
      <c r="AA1543" s="3" t="inlineStr">
        <is>
          <t>세로한면(가)</t>
        </is>
      </c>
    </row>
    <row r="1544">
      <c r="A1544" s="3" t="inlineStr">
        <is>
          <t>조치원읍 신흥리 11-7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25000</v>
      </c>
      <c r="H1544" s="4" t="n">
        <v>0</v>
      </c>
      <c r="I1544" s="4" t="n">
        <v>122</v>
      </c>
      <c r="J1544" s="4" t="n">
        <v>37</v>
      </c>
      <c r="K1544" s="5" t="n">
        <v>675.7</v>
      </c>
      <c r="L1544" s="4" t="n">
        <v>63</v>
      </c>
      <c r="M1544" s="4" t="n">
        <v>19</v>
      </c>
      <c r="N1544" s="5" t="n">
        <v>1315.8</v>
      </c>
      <c r="O1544" s="3" t="inlineStr">
        <is>
          <t>신흥 단독, 협의입주, 시세저렴,각종수리 깔끔</t>
        </is>
      </c>
      <c r="P1544" s="6">
        <f>HYPERLINK("https://fin.land.naver.com/articles/2653678072", "매물Link")</f>
        <v/>
      </c>
      <c r="Q1544" s="6">
        <f>HYPERLINK("https://map.naver.com/p/search/조치원읍 신흥리 11-7", "지도Link")</f>
        <v/>
      </c>
      <c r="R1544" s="6">
        <f>HYPERLINK("http://www.eum.go.kr/web/ar/lu/luLandDet.jsp?pnu=3611025029100110007&amp;isNoScr=script&amp;mode=search", "토지이음")</f>
        <v/>
      </c>
      <c r="S1544" s="3" t="inlineStr">
        <is>
          <t>다옴</t>
        </is>
      </c>
      <c r="T1544" s="4" t="n">
        <v>1</v>
      </c>
      <c r="U1544" s="5" t="n">
        <v>182.9</v>
      </c>
      <c r="V1544" s="4" t="n">
        <v>122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20-6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24000</v>
      </c>
      <c r="H1545" s="4" t="n">
        <v>0</v>
      </c>
      <c r="I1545" s="4" t="n">
        <v>179</v>
      </c>
      <c r="J1545" s="4" t="n">
        <v>54</v>
      </c>
      <c r="K1545" s="5" t="n">
        <v>444.4</v>
      </c>
      <c r="L1545" s="4" t="n">
        <v>63</v>
      </c>
      <c r="M1545" s="4" t="n">
        <v>19</v>
      </c>
      <c r="N1545" s="5" t="n">
        <v>1263.2</v>
      </c>
      <c r="O1545" s="3" t="inlineStr">
        <is>
          <t>신흥단독주택,협의입주,각종수리,금액협의</t>
        </is>
      </c>
      <c r="P1545" s="6">
        <f>HYPERLINK("https://fin.land.naver.com/articles/2653762166", "매물Link")</f>
        <v/>
      </c>
      <c r="Q1545" s="6">
        <f>HYPERLINK("https://map.naver.com/p/search/조치원읍 신흥리 20-6", "지도Link")</f>
        <v/>
      </c>
      <c r="R1545" s="6">
        <f>HYPERLINK("http://www.eum.go.kr/web/ar/lu/luLandDet.jsp?pnu=3611025029100200006&amp;isNoScr=script&amp;mode=search", "토지이음")</f>
        <v/>
      </c>
      <c r="S1545" s="3" t="inlineStr">
        <is>
          <t>다옴</t>
        </is>
      </c>
      <c r="T1545" s="4" t="n">
        <v>1</v>
      </c>
      <c r="U1545" s="5" t="n">
        <v>185.1</v>
      </c>
      <c r="V1545" s="4" t="n">
        <v>179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완경사</t>
        </is>
      </c>
      <c r="Z1545" s="3" t="inlineStr">
        <is>
          <t>정방형</t>
        </is>
      </c>
      <c r="AA1545" s="3" t="inlineStr">
        <is>
          <t>세로한면(불)</t>
        </is>
      </c>
    </row>
    <row r="1546">
      <c r="A1546" s="3" t="inlineStr">
        <is>
          <t>조치원읍 신흥리 26-1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36000</v>
      </c>
      <c r="H1546" s="4" t="n">
        <v>0</v>
      </c>
      <c r="I1546" s="4" t="n">
        <v>284</v>
      </c>
      <c r="J1546" s="4" t="n">
        <v>86</v>
      </c>
      <c r="K1546" s="5" t="n">
        <v>418.6</v>
      </c>
      <c r="L1546" s="4" t="n">
        <v>73</v>
      </c>
      <c r="M1546" s="4" t="n">
        <v>22</v>
      </c>
      <c r="N1546" s="5" t="n">
        <v>1636.4</v>
      </c>
      <c r="O1546" s="3" t="inlineStr">
        <is>
          <t>신흥리 위치 좋은 곳 단독주택</t>
        </is>
      </c>
      <c r="P1546" s="6">
        <f>HYPERLINK("https://fin.land.naver.com/articles/2653950163", "매물Link")</f>
        <v/>
      </c>
      <c r="Q1546" s="6">
        <f>HYPERLINK("https://map.naver.com/p/search/조치원읍 신흥리 26-1", "지도Link")</f>
        <v/>
      </c>
      <c r="R1546" s="6">
        <f>HYPERLINK("http://www.eum.go.kr/web/ar/lu/luLandDet.jsp?pnu=3611025029100260001&amp;isNoScr=script&amp;mode=search", "토지이음")</f>
        <v/>
      </c>
      <c r="S1546" s="3" t="inlineStr">
        <is>
          <t>KB세종</t>
        </is>
      </c>
      <c r="T1546" s="4" t="n">
        <v>1</v>
      </c>
      <c r="U1546" s="5" t="n">
        <v>185.6</v>
      </c>
      <c r="V1546" s="4" t="n">
        <v>284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49-10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33000</v>
      </c>
      <c r="H1547" s="4" t="n">
        <v>0</v>
      </c>
      <c r="I1547" s="4" t="n">
        <v>197</v>
      </c>
      <c r="J1547" s="4" t="n">
        <v>60</v>
      </c>
      <c r="K1547" s="5" t="n">
        <v>550</v>
      </c>
      <c r="L1547" s="4" t="n">
        <v>144</v>
      </c>
      <c r="M1547" s="4" t="n">
        <v>44</v>
      </c>
      <c r="N1547" s="5" t="n">
        <v>750</v>
      </c>
      <c r="O1547" s="3" t="inlineStr">
        <is>
          <t>급매,2층집으로 살기 좋은 단독주택입니다.</t>
        </is>
      </c>
      <c r="P1547" s="6">
        <f>HYPERLINK("https://fin.land.naver.com/articles/2655578820", "매물Link")</f>
        <v/>
      </c>
      <c r="Q1547" s="6">
        <f>HYPERLINK("https://map.naver.com/p/search/조치원읍 신흥리 49-10", "지도Link")</f>
        <v/>
      </c>
      <c r="R1547" s="6">
        <f>HYPERLINK("http://www.eum.go.kr/web/ar/lu/luLandDet.jsp?pnu=3611025029100490010&amp;isNoScr=script&amp;mode=search", "토지이음")</f>
        <v/>
      </c>
      <c r="S1547" s="3" t="inlineStr">
        <is>
          <t>마마</t>
        </is>
      </c>
      <c r="T1547" s="4" t="n">
        <v>1</v>
      </c>
      <c r="U1547" s="5" t="n">
        <v>225.9</v>
      </c>
      <c r="V1547" s="4" t="n">
        <v>197</v>
      </c>
      <c r="W1547" s="3" t="inlineStr">
        <is>
          <t>지정되지않음</t>
        </is>
      </c>
      <c r="X1547" s="3" t="inlineStr">
        <is>
          <t>주상기타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신흥리 5-3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41000</v>
      </c>
      <c r="H1548" s="4" t="n">
        <v>0</v>
      </c>
      <c r="I1548" s="4" t="n">
        <v>183</v>
      </c>
      <c r="J1548" s="4" t="n">
        <v>55</v>
      </c>
      <c r="K1548" s="5" t="n">
        <v>745.5</v>
      </c>
      <c r="L1548" s="4" t="n">
        <v>66</v>
      </c>
      <c r="M1548" s="4" t="n">
        <v>20</v>
      </c>
      <c r="N1548" s="5" t="n">
        <v>2050</v>
      </c>
      <c r="O1548" s="3" t="inlineStr">
        <is>
          <t>협의입주. 공원이 가깝고 교통이 편리한 주택</t>
        </is>
      </c>
      <c r="P1548" s="6">
        <f>HYPERLINK("https://fin.land.naver.com/articles/2653462110", "매물Link")</f>
        <v/>
      </c>
      <c r="Q1548" s="6">
        <f>HYPERLINK("https://map.naver.com/p/search/조치원읍 신흥리 5-3", "지도Link")</f>
        <v/>
      </c>
      <c r="R1548" s="6">
        <f>HYPERLINK("http://www.eum.go.kr/web/ar/lu/luLandDet.jsp?pnu=3611025029100050003&amp;isNoScr=script&amp;mode=search", "토지이음")</f>
        <v/>
      </c>
      <c r="S1548" s="3" t="inlineStr">
        <is>
          <t>정인</t>
        </is>
      </c>
      <c r="T1548" s="4" t="n">
        <v>2</v>
      </c>
      <c r="U1548" s="5" t="n">
        <v>182.9</v>
      </c>
      <c r="V1548" s="4" t="n">
        <v>183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5-7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18000</v>
      </c>
      <c r="H1549" s="4" t="n">
        <v>0</v>
      </c>
      <c r="I1549" s="4" t="n">
        <v>160</v>
      </c>
      <c r="J1549" s="4" t="n">
        <v>48</v>
      </c>
      <c r="K1549" s="5" t="n">
        <v>375</v>
      </c>
      <c r="L1549" s="4" t="n">
        <v>50</v>
      </c>
      <c r="M1549" s="4" t="n">
        <v>15</v>
      </c>
      <c r="N1549" s="5" t="n">
        <v>1200</v>
      </c>
      <c r="O1549" s="3" t="inlineStr">
        <is>
          <t>2차선 도로에 접한 주택, 전원생활 가능</t>
        </is>
      </c>
      <c r="P1549" s="6">
        <f>HYPERLINK("https://fin.land.naver.com/articles/2655220568", "매물Link")</f>
        <v/>
      </c>
      <c r="Q1549" s="6">
        <f>HYPERLINK("https://map.naver.com/p/search/조치원읍 신흥리 5-7", "지도Link")</f>
        <v/>
      </c>
      <c r="R1549" s="6">
        <f>HYPERLINK("http://www.eum.go.kr/web/ar/lu/luLandDet.jsp?pnu=3611025029100050007&amp;isNoScr=script&amp;mode=search",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179.4</v>
      </c>
      <c r="V1549" s="4" t="n">
        <v>161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소로한면</t>
        </is>
      </c>
    </row>
    <row r="1550">
      <c r="A1550" s="3" t="inlineStr">
        <is>
          <t>조치원읍 신흥리 78-4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32000</v>
      </c>
      <c r="H1550" s="4" t="n">
        <v>0</v>
      </c>
      <c r="I1550" s="4" t="n">
        <v>180</v>
      </c>
      <c r="J1550" s="4" t="n">
        <v>54</v>
      </c>
      <c r="K1550" s="5" t="n">
        <v>592.6</v>
      </c>
      <c r="L1550" s="4" t="n">
        <v>74</v>
      </c>
      <c r="M1550" s="4" t="n">
        <v>22</v>
      </c>
      <c r="N1550" s="5" t="n">
        <v>1454.5</v>
      </c>
      <c r="O1550" s="3" t="inlineStr">
        <is>
          <t>마당있는 단독주택</t>
        </is>
      </c>
      <c r="P1550" s="6">
        <f>HYPERLINK("https://fin.land.naver.com/articles/2650859599", "매물Link")</f>
        <v/>
      </c>
      <c r="Q1550" s="6">
        <f>HYPERLINK("https://map.naver.com/p/search/조치원읍 신흥리 78-4", "지도Link")</f>
        <v/>
      </c>
      <c r="R1550" s="6">
        <f>HYPERLINK("http://www.eum.go.kr/web/ar/lu/luLandDet.jsp?pnu=3611025029100780004&amp;isNoScr=script&amp;mode=search", "토지이음")</f>
        <v/>
      </c>
      <c r="S1550" s="3" t="inlineStr">
        <is>
          <t>세종대박</t>
        </is>
      </c>
      <c r="T1550" s="4" t="n">
        <v>1</v>
      </c>
      <c r="U1550" s="5" t="n">
        <v>230</v>
      </c>
      <c r="V1550" s="4" t="n">
        <v>180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소로한면</t>
        </is>
      </c>
    </row>
    <row r="1551">
      <c r="A1551" s="3" t="inlineStr">
        <is>
          <t>조치원읍 신흥리 8-7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빌라</t>
        </is>
      </c>
      <c r="F1551" s="3" t="inlineStr">
        <is>
          <t>매매</t>
        </is>
      </c>
      <c r="G1551" s="4" t="n">
        <v>9000</v>
      </c>
      <c r="H1551" s="4" t="n">
        <v>0</v>
      </c>
      <c r="I1551" s="4" t="n">
        <v>54</v>
      </c>
      <c r="J1551" s="4" t="n">
        <v>16</v>
      </c>
      <c r="K1551" s="5" t="n">
        <v>562.5</v>
      </c>
      <c r="L1551" s="4" t="n">
        <v>48</v>
      </c>
      <c r="M1551" s="4" t="n">
        <v>15</v>
      </c>
      <c r="N1551" s="5" t="n">
        <v>600</v>
      </c>
      <c r="O1551" s="3" t="inlineStr">
        <is>
          <t>올수리된 깨끗한 집, 협의입주</t>
        </is>
      </c>
      <c r="P1551" s="6">
        <f>HYPERLINK("https://fin.land.naver.com/articles/2652084894", "매물Link")</f>
        <v/>
      </c>
      <c r="Q1551" s="6">
        <f>HYPERLINK("https://map.naver.com/p/search/조치원읍 신흥리 8-7", "지도Link")</f>
        <v/>
      </c>
      <c r="R1551" s="6">
        <f>HYPERLINK("http://www.eum.go.kr/web/ar/lu/luLandDet.jsp?pnu=3611025029100080007&amp;isNoScr=script&amp;mode=search",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192</v>
      </c>
      <c r="V1551" s="4" t="n">
        <v>246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소로각지</t>
        </is>
      </c>
    </row>
    <row r="1552">
      <c r="A1552" s="3" t="inlineStr">
        <is>
          <t>조치원읍 신흥리 80-8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전세</t>
        </is>
      </c>
      <c r="G1552" s="4" t="n">
        <v>10000</v>
      </c>
      <c r="H1552" s="4" t="n">
        <v>0</v>
      </c>
      <c r="I1552" s="4" t="n">
        <v>186</v>
      </c>
      <c r="J1552" s="4" t="n">
        <v>56</v>
      </c>
      <c r="K1552" s="5" t="n">
        <v>178.6</v>
      </c>
      <c r="L1552" s="4" t="n">
        <v>82</v>
      </c>
      <c r="M1552" s="4" t="n">
        <v>25</v>
      </c>
      <c r="N1552" s="5" t="n">
        <v>400</v>
      </c>
      <c r="O1552" s="3" t="inlineStr">
        <is>
          <t>nan</t>
        </is>
      </c>
      <c r="P1552" s="6">
        <f>HYPERLINK("https://fin.land.naver.com/articles/2655235182", "매물Link")</f>
        <v/>
      </c>
      <c r="Q1552" s="6">
        <f>HYPERLINK("https://map.naver.com/p/search/조치원읍 신흥리 80-8", "지도Link")</f>
        <v/>
      </c>
      <c r="R1552" s="6">
        <f>HYPERLINK("http://www.eum.go.kr/web/ar/lu/luLandDet.jsp?pnu=3611025029100800008&amp;isNoScr=script&amp;mode=search", "토지이음")</f>
        <v/>
      </c>
      <c r="S1552" s="3" t="inlineStr">
        <is>
          <t>뉴하늘채</t>
        </is>
      </c>
      <c r="T1552" s="4" t="n">
        <v>1</v>
      </c>
      <c r="U1552" s="5" t="n">
        <v>190.9</v>
      </c>
      <c r="V1552" s="4" t="n">
        <v>186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세로한면(불)</t>
        </is>
      </c>
    </row>
    <row r="1553">
      <c r="A1553" s="3" t="inlineStr">
        <is>
          <t>조치원읍 원리 132-16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연립</t>
        </is>
      </c>
      <c r="F1553" s="3" t="inlineStr">
        <is>
          <t>매매</t>
        </is>
      </c>
      <c r="G1553" s="4" t="n">
        <v>7500</v>
      </c>
      <c r="H1553" s="4" t="n">
        <v>0</v>
      </c>
      <c r="I1553" s="4" t="n">
        <v>61</v>
      </c>
      <c r="J1553" s="4" t="n">
        <v>18</v>
      </c>
      <c r="K1553" s="5" t="n">
        <v>416.7</v>
      </c>
      <c r="L1553" s="4" t="n">
        <v>61</v>
      </c>
      <c r="M1553" s="4" t="n">
        <v>18</v>
      </c>
      <c r="N1553" s="5" t="n">
        <v>416.7</v>
      </c>
      <c r="O1553" s="3" t="inlineStr">
        <is>
          <t>1층 방3개,화장실 1개, 입주는 두달 여유주세요</t>
        </is>
      </c>
      <c r="P1553" s="6">
        <f>HYPERLINK("https://fin.land.naver.com/articles/2656427397", "매물Link")</f>
        <v/>
      </c>
      <c r="Q1553" s="6">
        <f>HYPERLINK("https://map.naver.com/p/search/조치원읍 원리 132-16", "지도Link")</f>
        <v/>
      </c>
      <c r="R1553" s="6">
        <f>HYPERLINK("http://www.eum.go.kr/web/ar/lu/luLandDet.jsp?pnu=3611025021101320016&amp;isNoScr=script&amp;mode=search", "토지이음")</f>
        <v/>
      </c>
      <c r="S1553" s="3" t="inlineStr">
        <is>
          <t>이음 사무소</t>
        </is>
      </c>
      <c r="T1553" s="4" t="n">
        <v>1</v>
      </c>
      <c r="U1553" s="5" t="n">
        <v>186.2</v>
      </c>
      <c r="V1553" s="4" t="n">
        <v>1745</v>
      </c>
      <c r="W1553" s="3" t="inlineStr">
        <is>
          <t>지정되지않음</t>
        </is>
      </c>
      <c r="X1553" s="3" t="inlineStr">
        <is>
          <t>연립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세로각지(가)</t>
        </is>
      </c>
    </row>
    <row r="1554">
      <c r="A1554" s="3" t="inlineStr">
        <is>
          <t>조치원읍 원리 15-9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상가주택</t>
        </is>
      </c>
      <c r="F1554" s="3" t="inlineStr">
        <is>
          <t>매매</t>
        </is>
      </c>
      <c r="G1554" s="4" t="n">
        <v>26000</v>
      </c>
      <c r="H1554" s="4" t="n">
        <v>0</v>
      </c>
      <c r="I1554" s="4" t="n">
        <v>67</v>
      </c>
      <c r="J1554" s="4" t="n">
        <v>20</v>
      </c>
      <c r="K1554" s="5" t="n">
        <v>1300</v>
      </c>
      <c r="L1554" s="4" t="n">
        <v>139</v>
      </c>
      <c r="M1554" s="4" t="n">
        <v>42</v>
      </c>
      <c r="N1554" s="5" t="n">
        <v>619</v>
      </c>
      <c r="O1554" s="3" t="inlineStr">
        <is>
          <t>원리 서독안경원 골목 먹자골목내 자기상가하면서 거주하실분 추천</t>
        </is>
      </c>
      <c r="P1554" s="6">
        <f>HYPERLINK("https://fin.land.naver.com/articles/2652877281", "매물Link")</f>
        <v/>
      </c>
      <c r="Q1554" s="6">
        <f>HYPERLINK("https://map.naver.com/p/search/조치원읍 원리 15-9", "지도Link")</f>
        <v/>
      </c>
      <c r="R1554" s="6">
        <f>HYPERLINK("http://www.eum.go.kr/web/ar/lu/luLandDet.jsp?pnu=3611025021100150009&amp;isNoScr=script&amp;mode=search", "토지이음")</f>
        <v/>
      </c>
      <c r="S1554" s="3" t="inlineStr">
        <is>
          <t>OK수</t>
        </is>
      </c>
      <c r="T1554" s="4" t="n">
        <v>1</v>
      </c>
      <c r="U1554" s="5" t="n">
        <v>641.3</v>
      </c>
      <c r="V1554" s="4" t="n">
        <v>67.8</v>
      </c>
      <c r="W1554" s="3" t="inlineStr">
        <is>
          <t>지정되지않음</t>
        </is>
      </c>
      <c r="X1554" s="3" t="inlineStr">
        <is>
          <t>상업용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소로한면</t>
        </is>
      </c>
    </row>
    <row r="1555">
      <c r="A1555" s="3" t="inlineStr">
        <is>
          <t>조치원읍 원리 2-11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0</t>
        </is>
      </c>
      <c r="E1555" s="3" t="inlineStr">
        <is>
          <t>도시형생활주택</t>
        </is>
      </c>
      <c r="F1555" s="3" t="inlineStr">
        <is>
          <t>전세</t>
        </is>
      </c>
      <c r="G1555" s="4" t="n">
        <v>4000</v>
      </c>
      <c r="H1555" s="4" t="n">
        <v>0</v>
      </c>
      <c r="I1555" s="4" t="n">
        <v>27</v>
      </c>
      <c r="J1555" s="4" t="n">
        <v>8</v>
      </c>
      <c r="K1555" s="5" t="n">
        <v>500</v>
      </c>
      <c r="L1555" s="4" t="n">
        <v>15</v>
      </c>
      <c r="M1555" s="4" t="n">
        <v>5</v>
      </c>
      <c r="N1555" s="5" t="n">
        <v>800</v>
      </c>
      <c r="O1555" s="3" t="inlineStr">
        <is>
          <t>원리 국민은행 뒷편 조치원역 도보3분</t>
        </is>
      </c>
      <c r="P1555" s="6">
        <f>HYPERLINK("https://fin.land.naver.com/articles/2652087907", "매물Link")</f>
        <v/>
      </c>
      <c r="Q1555" s="6">
        <f>HYPERLINK("https://map.naver.com/p/search/조치원읍 원리 2-11", "지도Link")</f>
        <v/>
      </c>
      <c r="R1555" s="6">
        <f>HYPERLINK("http://www.eum.go.kr/web/ar/lu/luLandDet.jsp?pnu=3611025021100020011&amp;isNoScr=script&amp;mode=search",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488.9</v>
      </c>
      <c r="V1555" s="4" t="n">
        <v>491.3</v>
      </c>
      <c r="W1555" s="3" t="inlineStr">
        <is>
          <t>지정되지않음</t>
        </is>
      </c>
      <c r="X1555" s="3" t="inlineStr">
        <is>
          <t>상업용</t>
        </is>
      </c>
      <c r="Y1555" s="3" t="inlineStr">
        <is>
          <t>평지</t>
        </is>
      </c>
      <c r="Z1555" s="3" t="inlineStr">
        <is>
          <t>가로장방</t>
        </is>
      </c>
      <c r="AA1555" s="3" t="inlineStr">
        <is>
          <t>세로한면(가)</t>
        </is>
      </c>
    </row>
    <row r="1556">
      <c r="A1556" s="3" t="inlineStr">
        <is>
          <t>조치원읍 원리 4-4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30800</v>
      </c>
      <c r="H1556" s="4" t="n">
        <v>0</v>
      </c>
      <c r="I1556" s="4" t="n">
        <v>232</v>
      </c>
      <c r="J1556" s="4" t="n">
        <v>70</v>
      </c>
      <c r="K1556" s="5" t="n">
        <v>440</v>
      </c>
      <c r="L1556" s="4" t="n">
        <v>127</v>
      </c>
      <c r="M1556" s="4" t="n">
        <v>38</v>
      </c>
      <c r="N1556" s="5" t="n">
        <v>810.5</v>
      </c>
      <c r="O1556" s="3" t="inlineStr">
        <is>
          <t>롯데리아 뒷편 감성있는 단독주택입니다.</t>
        </is>
      </c>
      <c r="P1556" s="6">
        <f>HYPERLINK("https://fin.land.naver.com/articles/2654551165", "매물Link")</f>
        <v/>
      </c>
      <c r="Q1556" s="6">
        <f>HYPERLINK("https://map.naver.com/p/search/조치원읍 원리 4-4", "지도Link")</f>
        <v/>
      </c>
      <c r="R1556" s="6">
        <f>HYPERLINK("http://www.eum.go.kr/web/ar/lu/luLandDet.jsp?pnu=3611025021100040004&amp;isNoScr=script&amp;mode=search", "토지이음")</f>
        <v/>
      </c>
      <c r="S1556" s="3" t="inlineStr">
        <is>
          <t>이음 사무소</t>
        </is>
      </c>
      <c r="T1556" s="4" t="n">
        <v>2</v>
      </c>
      <c r="U1556" s="5" t="n">
        <v>438.3</v>
      </c>
      <c r="V1556" s="4" t="n">
        <v>201.7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자루형</t>
        </is>
      </c>
      <c r="AA1556" s="3" t="inlineStr">
        <is>
          <t>중로한면</t>
        </is>
      </c>
    </row>
    <row r="1557">
      <c r="A1557" s="3" t="inlineStr">
        <is>
          <t>조치원읍 원리 9-29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상가주택</t>
        </is>
      </c>
      <c r="F1557" s="3" t="inlineStr">
        <is>
          <t>매매</t>
        </is>
      </c>
      <c r="G1557" s="4" t="n">
        <v>120000</v>
      </c>
      <c r="H1557" s="4" t="n">
        <v>0</v>
      </c>
      <c r="I1557" s="4" t="n">
        <v>149</v>
      </c>
      <c r="J1557" s="4" t="n">
        <v>45</v>
      </c>
      <c r="K1557" s="5" t="n">
        <v>2666.7</v>
      </c>
      <c r="L1557" s="4" t="n">
        <v>360</v>
      </c>
      <c r="M1557" s="4" t="n">
        <v>109</v>
      </c>
      <c r="N1557" s="5" t="n">
        <v>1100.9</v>
      </c>
      <c r="O1557" s="3" t="inlineStr">
        <is>
          <t>조치원역 회전교차로 인근 최상위치</t>
        </is>
      </c>
      <c r="P1557" s="6">
        <f>HYPERLINK("https://fin.land.naver.com/articles/2651708568", "매물Link")</f>
        <v/>
      </c>
      <c r="Q1557" s="6">
        <f>HYPERLINK("https://map.naver.com/p/search/조치원읍 원리 9-29", "지도Link")</f>
        <v/>
      </c>
      <c r="R1557" s="6">
        <f>HYPERLINK("http://www.eum.go.kr/web/ar/lu/luLandDet.jsp?pnu=3611025021100090029&amp;isNoScr=script&amp;mode=search",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1102.1</v>
      </c>
      <c r="V1557" s="4" t="n">
        <v>134.9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중로한면</t>
        </is>
      </c>
    </row>
    <row r="1558">
      <c r="A1558" s="3" t="inlineStr">
        <is>
          <t>조치원읍 정리 112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0</t>
        </is>
      </c>
      <c r="E1558" s="3" t="inlineStr">
        <is>
          <t>도시형생활주택</t>
        </is>
      </c>
      <c r="F1558" s="3" t="inlineStr">
        <is>
          <t>월세</t>
        </is>
      </c>
      <c r="G1558" s="4" t="n">
        <v>300</v>
      </c>
      <c r="H1558" s="4" t="n">
        <v>37</v>
      </c>
      <c r="I1558" s="4" t="n">
        <v>26</v>
      </c>
      <c r="J1558" s="4" t="n">
        <v>8</v>
      </c>
      <c r="K1558" s="5" t="n">
        <v>4.6</v>
      </c>
      <c r="L1558" s="4" t="n">
        <v>16</v>
      </c>
      <c r="M1558" s="4" t="n">
        <v>5</v>
      </c>
      <c r="N1558" s="5" t="n">
        <v>7.4</v>
      </c>
      <c r="O1558" s="3" t="inlineStr">
        <is>
          <t>정리 조치원역 2분  깨끗한 원룸입니다</t>
        </is>
      </c>
      <c r="P1558" s="6">
        <f>HYPERLINK("https://fin.land.naver.com/articles/2655965324", "매물Link")</f>
        <v/>
      </c>
      <c r="Q1558" s="6">
        <f>HYPERLINK("https://map.naver.com/p/search/조치원읍 정리 112", "지도Link")</f>
        <v/>
      </c>
      <c r="R1558" s="6">
        <f>HYPERLINK("http://www.eum.go.kr/web/ar/lu/luLandDet.jsp?pnu=3611025025101120000&amp;isNoScr=script&amp;mode=search",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184.1</v>
      </c>
      <c r="V1558" s="4" t="n">
        <v>1013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정리 112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도시형생활주택</t>
        </is>
      </c>
      <c r="F1559" s="3" t="inlineStr">
        <is>
          <t>월세</t>
        </is>
      </c>
      <c r="G1559" s="4" t="n">
        <v>200</v>
      </c>
      <c r="H1559" s="4" t="n">
        <v>33</v>
      </c>
      <c r="I1559" s="4" t="n">
        <v>38</v>
      </c>
      <c r="J1559" s="4" t="n">
        <v>11</v>
      </c>
      <c r="K1559" s="5" t="n">
        <v>3</v>
      </c>
      <c r="L1559" s="4" t="n">
        <v>22</v>
      </c>
      <c r="M1559" s="4" t="n">
        <v>7</v>
      </c>
      <c r="N1559" s="5" t="n">
        <v>4.7</v>
      </c>
      <c r="O1559" s="3" t="inlineStr">
        <is>
          <t>조치원역인근,남향,풀옵션 입니다.</t>
        </is>
      </c>
      <c r="P1559" s="6">
        <f>HYPERLINK("https://fin.land.naver.com/articles/2654019821", "매물Link")</f>
        <v/>
      </c>
      <c r="Q1559" s="6">
        <f>HYPERLINK("https://map.naver.com/p/search/조치원읍 정리 112", "지도Link")</f>
        <v/>
      </c>
      <c r="R1559" s="6">
        <f>HYPERLINK("http://www.eum.go.kr/web/ar/lu/luLandDet.jsp?pnu=3611025025101120000&amp;isNoScr=script&amp;mode=search", "토지이음")</f>
        <v/>
      </c>
      <c r="S1559" s="3" t="inlineStr">
        <is>
          <t>이음</t>
        </is>
      </c>
      <c r="T1559" s="4" t="n">
        <v>1</v>
      </c>
      <c r="U1559" s="5" t="n">
        <v>184.1</v>
      </c>
      <c r="V1559" s="4" t="n">
        <v>1013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소로각지</t>
        </is>
      </c>
    </row>
    <row r="1560">
      <c r="A1560" s="3" t="inlineStr">
        <is>
          <t>조치원읍 죽림리 254-6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40000</v>
      </c>
      <c r="H1560" s="4" t="n">
        <v>0</v>
      </c>
      <c r="I1560" s="4" t="n">
        <v>309</v>
      </c>
      <c r="J1560" s="4" t="n">
        <v>93</v>
      </c>
      <c r="K1560" s="5" t="n">
        <v>430.1</v>
      </c>
      <c r="L1560" s="4" t="n">
        <v>74</v>
      </c>
      <c r="M1560" s="4" t="n">
        <v>22</v>
      </c>
      <c r="N1560" s="5" t="n">
        <v>1818.2</v>
      </c>
      <c r="O1560" s="3" t="inlineStr">
        <is>
          <t>죽림리 2차선 도로접한 단독주택 매매. 가격절충가능. 리모델링 필요.</t>
        </is>
      </c>
      <c r="P1560" s="6">
        <f>HYPERLINK("https://fin.land.naver.com/articles/2656140212", "매물Link")</f>
        <v/>
      </c>
      <c r="Q1560" s="6">
        <f>HYPERLINK("https://map.naver.com/p/search/조치원읍 죽림리 254-6", "지도Link")</f>
        <v/>
      </c>
      <c r="R1560" s="6">
        <f>HYPERLINK("http://www.eum.go.kr/web/ar/lu/luLandDet.jsp?pnu=3611025030102540006&amp;isNoScr=script&amp;mode=search", "토지이음")</f>
        <v/>
      </c>
      <c r="S1560" s="3" t="inlineStr">
        <is>
          <t>세종대장</t>
        </is>
      </c>
      <c r="T1560" s="4" t="n">
        <v>1</v>
      </c>
      <c r="U1560" s="5" t="n">
        <v>231.4</v>
      </c>
      <c r="V1560" s="4" t="n">
        <v>136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소로한면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100</v>
      </c>
      <c r="H1564" s="4" t="n">
        <v>31</v>
      </c>
      <c r="I1564" s="4" t="n">
        <v>46</v>
      </c>
      <c r="J1564" s="4" t="n">
        <v>14</v>
      </c>
      <c r="K1564" s="5" t="n">
        <v>2.2</v>
      </c>
      <c r="L1564" s="4" t="n">
        <v>46</v>
      </c>
      <c r="M1564" s="4" t="n">
        <v>14</v>
      </c>
      <c r="N1564" s="5" t="n">
        <v>2.2</v>
      </c>
      <c r="O1564" s="3" t="inlineStr">
        <is>
          <t>깔끔하고 넓은 원 룸으로 주변에 대형마트있으며, 대중교통편함</t>
        </is>
      </c>
      <c r="P1564" s="6">
        <f>HYPERLINK("https://fin.land.naver.com/articles/2653997485",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일반원룸</t>
        </is>
      </c>
      <c r="F1565" s="3" t="inlineStr">
        <is>
          <t>월세</t>
        </is>
      </c>
      <c r="G1565" s="4" t="n">
        <v>100</v>
      </c>
      <c r="H1565" s="4" t="n">
        <v>30</v>
      </c>
      <c r="I1565" s="4" t="n">
        <v>39</v>
      </c>
      <c r="J1565" s="4" t="n">
        <v>12</v>
      </c>
      <c r="K1565" s="5" t="n">
        <v>2.5</v>
      </c>
      <c r="L1565" s="4" t="n">
        <v>26</v>
      </c>
      <c r="M1565" s="4" t="n">
        <v>8</v>
      </c>
      <c r="N1565" s="5" t="n">
        <v>3.8</v>
      </c>
      <c r="O1565" s="3" t="inlineStr">
        <is>
          <t>죽림O우리마트1분O완전풀옵션O엘리베이터O</t>
        </is>
      </c>
      <c r="P1565" s="6">
        <f>HYPERLINK("https://fin.land.naver.com/articles/2651040064",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리모델링완료, 마당. 텃밭있음  월세60만원 수익형매물, 입주조율가능</t>
        </is>
      </c>
      <c r="P1570" s="6">
        <f>HYPERLINK("https://fin.land.naver.com/articles/2656044258",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그래그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HYPERLINK("https://fin.land.naver.com/articles/2656441403",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153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200</v>
      </c>
      <c r="H1573" s="4" t="n">
        <v>35</v>
      </c>
      <c r="I1573" s="4" t="n">
        <v>30</v>
      </c>
      <c r="J1573" s="4" t="n">
        <v>9</v>
      </c>
      <c r="K1573" s="5" t="n">
        <v>3.9</v>
      </c>
      <c r="L1573" s="4" t="n">
        <v>25</v>
      </c>
      <c r="M1573" s="4" t="n">
        <v>8</v>
      </c>
      <c r="N1573" s="5" t="n">
        <v>4.4</v>
      </c>
      <c r="O1573" s="3" t="inlineStr">
        <is>
          <t>조치원역 인근 미니투룸 월세</t>
        </is>
      </c>
      <c r="P1573" s="6">
        <f>HYPERLINK("https://fin.land.naver.com/articles/2652540224", "매물Link")</f>
        <v/>
      </c>
      <c r="Q1573" s="6">
        <f>HYPERLINK("https://map.naver.com/p/search/조치원읍 침산리 153", "지도Link")</f>
        <v/>
      </c>
      <c r="R1573" s="6">
        <f>HYPERLINK("http://www.eum.go.kr/web/ar/lu/luLandDet.jsp?pnu=3611025028101530000&amp;isNoScr=script&amp;mode=search", "토지이음")</f>
        <v/>
      </c>
      <c r="S1573" s="3" t="inlineStr">
        <is>
          <t>무지개</t>
        </is>
      </c>
      <c r="T1573" s="4" t="n">
        <v>1</v>
      </c>
      <c r="U1573" s="5" t="n">
        <v>155.1</v>
      </c>
      <c r="V1573" s="4" t="n">
        <v>220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완경사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침산리 166-57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120000</v>
      </c>
      <c r="H1574" s="4" t="n">
        <v>0</v>
      </c>
      <c r="I1574" s="4" t="n">
        <v>383</v>
      </c>
      <c r="J1574" s="4" t="n">
        <v>116</v>
      </c>
      <c r="K1574" s="5" t="n">
        <v>1034.5</v>
      </c>
      <c r="L1574" s="4" t="n">
        <v>198</v>
      </c>
      <c r="M1574" s="4" t="n">
        <v>60</v>
      </c>
      <c r="N1574" s="5" t="n">
        <v>2000</v>
      </c>
      <c r="O1574" s="3" t="inlineStr">
        <is>
          <t>nan</t>
        </is>
      </c>
      <c r="P1574" s="6">
        <f>HYPERLINK("https://fin.land.naver.com/articles/2651570688", "매물Link")</f>
        <v/>
      </c>
      <c r="Q1574" s="6">
        <f>HYPERLINK("https://map.naver.com/p/search/조치원읍 침산리 166-57", "지도Link")</f>
        <v/>
      </c>
      <c r="R1574" s="6">
        <f>HYPERLINK("http://www.eum.go.kr/web/ar/lu/luLandDet.jsp?pnu=3611025028101660057&amp;isNoScr=script&amp;mode=search", "토지이음")</f>
        <v/>
      </c>
      <c r="S1574" s="3" t="inlineStr">
        <is>
          <t>여기로</t>
        </is>
      </c>
      <c r="T1574" s="4" t="n">
        <v>1</v>
      </c>
      <c r="U1574" s="5" t="n">
        <v>233.7</v>
      </c>
      <c r="V1574" s="4" t="n">
        <v>383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침산리 251-4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19</v>
      </c>
      <c r="J1575" s="4" t="n">
        <v>6</v>
      </c>
      <c r="K1575" s="5" t="n">
        <v>5</v>
      </c>
      <c r="L1575" s="4" t="n">
        <v>13</v>
      </c>
      <c r="M1575" s="4" t="n">
        <v>4</v>
      </c>
      <c r="N1575" s="5" t="n">
        <v>7.5</v>
      </c>
      <c r="O1575" s="3" t="inlineStr">
        <is>
          <t>침산리 원룸 월세</t>
        </is>
      </c>
      <c r="P1575" s="6">
        <f>HYPERLINK("https://fin.land.naver.com/articles/2653989696", "매물Link")</f>
        <v/>
      </c>
      <c r="Q1575" s="6">
        <f>HYPERLINK("https://map.naver.com/p/search/조치원읍 침산리 251-4", "지도Link")</f>
        <v/>
      </c>
      <c r="R1575" s="6">
        <f>HYPERLINK("http://www.eum.go.kr/web/ar/lu/luLandDet.jsp?pnu=3611025028102510004&amp;isNoScr=script&amp;mode=search", "토지이음")</f>
        <v/>
      </c>
      <c r="S1575" s="3" t="inlineStr">
        <is>
          <t>김준희</t>
        </is>
      </c>
      <c r="T1575" s="4" t="n">
        <v>2</v>
      </c>
      <c r="U1575" s="5" t="n">
        <v>526</v>
      </c>
      <c r="V1575" s="4" t="n">
        <v>277.6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가로장방</t>
        </is>
      </c>
      <c r="AA1575" s="3" t="inlineStr">
        <is>
          <t>중로한면</t>
        </is>
      </c>
    </row>
    <row r="1576">
      <c r="A1576" s="3" t="inlineStr">
        <is>
          <t>조치원읍 침산리 251-5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6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92000</v>
      </c>
      <c r="H1576" s="4" t="n">
        <v>0</v>
      </c>
      <c r="I1576" s="4" t="n">
        <v>167</v>
      </c>
      <c r="J1576" s="4" t="n">
        <v>51</v>
      </c>
      <c r="K1576" s="5" t="n">
        <v>1803.9</v>
      </c>
      <c r="L1576" s="4" t="n">
        <v>415</v>
      </c>
      <c r="M1576" s="4" t="n">
        <v>126</v>
      </c>
      <c r="N1576" s="5" t="n">
        <v>730.2</v>
      </c>
      <c r="O1576" s="3" t="inlineStr">
        <is>
          <t>nan</t>
        </is>
      </c>
      <c r="P1576" s="6">
        <f>HYPERLINK("https://fin.land.naver.com/articles/2654387726", "매물Link")</f>
        <v/>
      </c>
      <c r="Q1576" s="6">
        <f>HYPERLINK("https://map.naver.com/p/search/조치원읍 침산리 251-5", "지도Link")</f>
        <v/>
      </c>
      <c r="R1576" s="6">
        <f>HYPERLINK("http://www.eum.go.kr/web/ar/lu/luLandDet.jsp?pnu=3611025028102510005&amp;isNoScr=script&amp;mode=search",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515.7</v>
      </c>
      <c r="V1576" s="4" t="n">
        <v>167.1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중로한면</t>
        </is>
      </c>
    </row>
    <row r="1577">
      <c r="A1577" s="3" t="inlineStr">
        <is>
          <t>조치원읍 침산리 251-6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300</v>
      </c>
      <c r="H1577" s="4" t="n">
        <v>45</v>
      </c>
      <c r="I1577" s="4" t="n">
        <v>40</v>
      </c>
      <c r="J1577" s="4" t="n">
        <v>12</v>
      </c>
      <c r="K1577" s="5" t="n">
        <v>3.8</v>
      </c>
      <c r="L1577" s="4" t="n">
        <v>40</v>
      </c>
      <c r="M1577" s="4" t="n">
        <v>12</v>
      </c>
      <c r="N1577" s="5" t="n">
        <v>3.8</v>
      </c>
      <c r="O1577" s="3" t="inlineStr">
        <is>
          <t>nan</t>
        </is>
      </c>
      <c r="P1577" s="6">
        <f>HYPERLINK("https://fin.land.naver.com/articles/2655902280", "매물Link")</f>
        <v/>
      </c>
      <c r="Q1577" s="6">
        <f>HYPERLINK("https://map.naver.com/p/search/조치원읍 침산리 251-6", "지도Link")</f>
        <v/>
      </c>
      <c r="R1577" s="6">
        <f>HYPERLINK("http://www.eum.go.kr/web/ar/lu/luLandDet.jsp?pnu=3611025028102510006&amp;isNoScr=script&amp;mode=search", "토지이음")</f>
        <v/>
      </c>
      <c r="S1577" s="3" t="inlineStr">
        <is>
          <t>상희</t>
        </is>
      </c>
      <c r="T1577" s="4" t="n">
        <v>1</v>
      </c>
      <c r="U1577" s="5" t="n">
        <v>526</v>
      </c>
      <c r="V1577" s="4" t="n">
        <v>277.7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중로한면</t>
        </is>
      </c>
    </row>
    <row r="1578">
      <c r="A1578" s="3" t="inlineStr">
        <is>
          <t>조치원읍 침산리 251-6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300</v>
      </c>
      <c r="H1578" s="4" t="n">
        <v>45</v>
      </c>
      <c r="I1578" s="4" t="n">
        <v>130</v>
      </c>
      <c r="J1578" s="4" t="n">
        <v>39</v>
      </c>
      <c r="K1578" s="5" t="n">
        <v>1.2</v>
      </c>
      <c r="L1578" s="4" t="n">
        <v>32</v>
      </c>
      <c r="M1578" s="4" t="n">
        <v>10</v>
      </c>
      <c r="N1578" s="5" t="n">
        <v>4.5</v>
      </c>
      <c r="O1578" s="3" t="inlineStr">
        <is>
          <t>침산먹자,귀한 투룸,풀옵,10월말입주 가능</t>
        </is>
      </c>
      <c r="P1578" s="6">
        <f>HYPERLINK("https://fin.land.naver.com/articles/2655898944", "매물Link")</f>
        <v/>
      </c>
      <c r="Q1578" s="6">
        <f>HYPERLINK("https://map.naver.com/p/search/조치원읍 침산리 251-6", "지도Link")</f>
        <v/>
      </c>
      <c r="R1578" s="6">
        <f>HYPERLINK("http://www.eum.go.kr/web/ar/lu/luLandDet.jsp?pnu=3611025028102510006&amp;isNoScr=script&amp;mode=search", "토지이음")</f>
        <v/>
      </c>
      <c r="S1578" s="3" t="inlineStr">
        <is>
          <t>다옴</t>
        </is>
      </c>
      <c r="T1578" s="4" t="n">
        <v>1</v>
      </c>
      <c r="U1578" s="5" t="n">
        <v>526</v>
      </c>
      <c r="V1578" s="4" t="n">
        <v>277.7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가로장방</t>
        </is>
      </c>
      <c r="AA1578" s="3" t="inlineStr">
        <is>
          <t>중로한면</t>
        </is>
      </c>
    </row>
    <row r="1579">
      <c r="A1579" s="3" t="inlineStr">
        <is>
          <t>조치원읍 침산리 251-6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300</v>
      </c>
      <c r="H1579" s="4" t="n">
        <v>45</v>
      </c>
      <c r="I1579" s="4" t="n">
        <v>0</v>
      </c>
      <c r="J1579" s="4" t="n">
        <v>0</v>
      </c>
      <c r="K1579" s="5" t="n">
        <v>0</v>
      </c>
      <c r="L1579" s="4" t="n">
        <v>26</v>
      </c>
      <c r="M1579" s="4" t="n">
        <v>8</v>
      </c>
      <c r="N1579" s="5" t="n">
        <v>5.6</v>
      </c>
      <c r="O1579" s="3" t="inlineStr">
        <is>
          <t>큰방2개 2룸</t>
        </is>
      </c>
      <c r="P1579" s="6">
        <f>HYPERLINK("https://fin.land.naver.com/articles/2655920180", "매물Link")</f>
        <v/>
      </c>
      <c r="Q1579" s="6">
        <f>HYPERLINK("https://map.naver.com/p/search/조치원읍 침산리 251-6", "지도Link")</f>
        <v/>
      </c>
      <c r="R1579" s="6">
        <f>HYPERLINK("http://www.eum.go.kr/web/ar/lu/luLandDet.jsp?pnu=3611025028102510006&amp;isNoScr=script&amp;mode=search",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526</v>
      </c>
      <c r="V1579" s="4" t="n">
        <v>277.7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252-8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27</v>
      </c>
      <c r="I1580" s="4" t="n">
        <v>26</v>
      </c>
      <c r="J1580" s="4" t="n">
        <v>8</v>
      </c>
      <c r="K1580" s="5" t="n">
        <v>3.4</v>
      </c>
      <c r="L1580" s="4" t="n">
        <v>26</v>
      </c>
      <c r="M1580" s="4" t="n">
        <v>8</v>
      </c>
      <c r="N1580" s="5" t="n">
        <v>3.4</v>
      </c>
      <c r="O1580" s="3" t="inlineStr">
        <is>
          <t>넒은 원룸이며, 조치원시장, 조치원역 옆에 위치하여 교통 편리</t>
        </is>
      </c>
      <c r="P1580" s="6">
        <f>HYPERLINK("https://fin.land.naver.com/articles/2655186237", "매물Link")</f>
        <v/>
      </c>
      <c r="Q1580" s="6">
        <f>HYPERLINK("https://map.naver.com/p/search/조치원읍 침산리 252-8", "지도Link")</f>
        <v/>
      </c>
      <c r="R1580" s="6">
        <f>HYPERLINK("http://www.eum.go.kr/web/ar/lu/luLandDet.jsp?pnu=3611025028102520008&amp;isNoScr=script&amp;mode=search", "토지이음")</f>
        <v/>
      </c>
      <c r="S1580" s="3" t="inlineStr">
        <is>
          <t>세종베스트</t>
        </is>
      </c>
      <c r="T1580" s="4" t="n">
        <v>1</v>
      </c>
      <c r="U1580" s="5" t="n">
        <v>286.8</v>
      </c>
      <c r="V1580" s="4" t="n">
        <v>348</v>
      </c>
      <c r="W1580" s="3" t="inlineStr">
        <is>
          <t>지정되지않음</t>
        </is>
      </c>
      <c r="X1580" s="3" t="inlineStr">
        <is>
          <t>주거기타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세로한면(가)</t>
        </is>
      </c>
    </row>
    <row r="1581">
      <c r="A1581" s="3" t="inlineStr">
        <is>
          <t>조치원읍 침산리 252-8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95000</v>
      </c>
      <c r="H1581" s="4" t="n">
        <v>0</v>
      </c>
      <c r="I1581" s="4" t="n">
        <v>348</v>
      </c>
      <c r="J1581" s="4" t="n">
        <v>105</v>
      </c>
      <c r="K1581" s="5" t="n">
        <v>904.8</v>
      </c>
      <c r="L1581" s="4" t="n">
        <v>489</v>
      </c>
      <c r="M1581" s="4" t="n">
        <v>148</v>
      </c>
      <c r="N1581" s="5" t="n">
        <v>641.9</v>
      </c>
      <c r="O1581" s="3" t="inlineStr">
        <is>
          <t>nan</t>
        </is>
      </c>
      <c r="P1581" s="6">
        <f>HYPERLINK("https://fin.land.naver.com/articles/2654393866", "매물Link")</f>
        <v/>
      </c>
      <c r="Q1581" s="6">
        <f>HYPERLINK("https://map.naver.com/p/search/조치원읍 침산리 252-8", "지도Link")</f>
        <v/>
      </c>
      <c r="R1581" s="6">
        <f>HYPERLINK("http://www.eum.go.kr/web/ar/lu/luLandDet.jsp?pnu=3611025028102520008&amp;isNoScr=script&amp;mode=search",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286.8</v>
      </c>
      <c r="V1581" s="4" t="n">
        <v>348</v>
      </c>
      <c r="W1581" s="3" t="inlineStr">
        <is>
          <t>지정되지않음</t>
        </is>
      </c>
      <c r="X1581" s="3" t="inlineStr">
        <is>
          <t>주거기타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254-1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3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500</v>
      </c>
      <c r="H1582" s="4" t="n">
        <v>42</v>
      </c>
      <c r="I1582" s="4" t="n">
        <v>0</v>
      </c>
      <c r="J1582" s="4" t="n">
        <v>0</v>
      </c>
      <c r="K1582" s="5" t="n">
        <v>0</v>
      </c>
      <c r="L1582" s="4" t="n">
        <v>26</v>
      </c>
      <c r="M1582" s="4" t="n">
        <v>8</v>
      </c>
      <c r="N1582" s="5" t="n">
        <v>5.2</v>
      </c>
      <c r="O1582" s="3" t="inlineStr">
        <is>
          <t>L조용한 위치 O투베이O 역3분</t>
        </is>
      </c>
      <c r="P1582" s="6">
        <f>HYPERLINK("https://fin.land.naver.com/articles/2651114575", "매물Link")</f>
        <v/>
      </c>
      <c r="Q1582" s="6">
        <f>HYPERLINK("https://map.naver.com/p/search/조치원읍 침산리 254-1", "지도Link")</f>
        <v/>
      </c>
      <c r="R1582" s="6">
        <f>HYPERLINK("http://www.eum.go.kr/web/ar/lu/luLandDet.jsp?pnu=3611025028102540001&amp;isNoScr=script&amp;mode=search", "토지이음")</f>
        <v/>
      </c>
      <c r="S1582" s="3" t="inlineStr">
        <is>
          <t>바다</t>
        </is>
      </c>
      <c r="T1582" s="4" t="n">
        <v>1</v>
      </c>
      <c r="U1582" s="5" t="n">
        <v>526.6</v>
      </c>
      <c r="V1582" s="4" t="n">
        <v>419.3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중로각지</t>
        </is>
      </c>
    </row>
    <row r="1583">
      <c r="A1583" s="3" t="inlineStr">
        <is>
          <t>조치원읍 침산리 255-10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3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30</v>
      </c>
      <c r="I1583" s="4" t="n">
        <v>25</v>
      </c>
      <c r="J1583" s="4" t="n">
        <v>8</v>
      </c>
      <c r="K1583" s="5" t="n">
        <v>3.8</v>
      </c>
      <c r="L1583" s="4" t="n">
        <v>22</v>
      </c>
      <c r="M1583" s="4" t="n">
        <v>7</v>
      </c>
      <c r="N1583" s="5" t="n">
        <v>4.3</v>
      </c>
      <c r="O1583" s="3" t="inlineStr">
        <is>
          <t>nan</t>
        </is>
      </c>
      <c r="P1583" s="6">
        <f>HYPERLINK("https://fin.land.naver.com/articles/2652783653", "매물Link")</f>
        <v/>
      </c>
      <c r="Q1583" s="6">
        <f>HYPERLINK("https://map.naver.com/p/search/조치원읍 침산리 255-10", "지도Link")</f>
        <v/>
      </c>
      <c r="R1583" s="6">
        <f>HYPERLINK("http://www.eum.go.kr/web/ar/lu/luLandDet.jsp?pnu=3611025028102550010&amp;isNoScr=script&amp;mode=search", "토지이음")</f>
        <v/>
      </c>
      <c r="S1583" s="3" t="inlineStr">
        <is>
          <t>효자</t>
        </is>
      </c>
      <c r="T1583" s="4" t="n">
        <v>1</v>
      </c>
      <c r="U1583" s="5" t="n">
        <v>292.7</v>
      </c>
      <c r="V1583" s="4" t="n">
        <v>251.7</v>
      </c>
      <c r="W1583" s="3" t="inlineStr">
        <is>
          <t>지정되지않음</t>
        </is>
      </c>
      <c r="X1583" s="3" t="inlineStr">
        <is>
          <t>주거기타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세로한면(가)</t>
        </is>
      </c>
    </row>
    <row r="1584">
      <c r="A1584" s="3" t="inlineStr">
        <is>
          <t>조치원읍 침산리 255-12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상가주택</t>
        </is>
      </c>
      <c r="F1584" s="3" t="inlineStr">
        <is>
          <t>매매</t>
        </is>
      </c>
      <c r="G1584" s="4" t="n">
        <v>36000</v>
      </c>
      <c r="H1584" s="4" t="n">
        <v>0</v>
      </c>
      <c r="I1584" s="4" t="n">
        <v>217</v>
      </c>
      <c r="J1584" s="4" t="n">
        <v>66</v>
      </c>
      <c r="K1584" s="5" t="n">
        <v>545.5</v>
      </c>
      <c r="L1584" s="4" t="n">
        <v>124</v>
      </c>
      <c r="M1584" s="4" t="n">
        <v>38</v>
      </c>
      <c r="N1584" s="5" t="n">
        <v>947.4</v>
      </c>
      <c r="O1584" s="3" t="inlineStr">
        <is>
          <t>단층 건물 매매</t>
        </is>
      </c>
      <c r="P1584" s="6">
        <f>HYPERLINK("https://fin.land.naver.com/articles/2653348337", "매물Link")</f>
        <v/>
      </c>
      <c r="Q1584" s="6">
        <f>HYPERLINK("https://map.naver.com/p/search/조치원읍 침산리 255-12", "지도Link")</f>
        <v/>
      </c>
      <c r="R1584" s="6">
        <f>HYPERLINK("http://www.eum.go.kr/web/ar/lu/luLandDet.jsp?pnu=3611025028102550012&amp;isNoScr=script&amp;mode=search",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292.7</v>
      </c>
      <c r="V1584" s="4" t="n">
        <v>217</v>
      </c>
      <c r="W1584" s="3" t="inlineStr">
        <is>
          <t>지정되지않음</t>
        </is>
      </c>
      <c r="X1584" s="3" t="inlineStr">
        <is>
          <t>주거기타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세로한면(가)</t>
        </is>
      </c>
    </row>
    <row r="1585">
      <c r="A1585" s="3" t="inlineStr">
        <is>
          <t>조치원읍 침산리 255-4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일반원룸</t>
        </is>
      </c>
      <c r="F1585" s="3" t="inlineStr">
        <is>
          <t>단기임대</t>
        </is>
      </c>
      <c r="G1585" s="4" t="n">
        <v>200</v>
      </c>
      <c r="H1585" s="4" t="n">
        <v>55</v>
      </c>
      <c r="I1585" s="4" t="n">
        <v>46</v>
      </c>
      <c r="J1585" s="4" t="n">
        <v>14</v>
      </c>
      <c r="K1585" s="5" t="n">
        <v>14.3</v>
      </c>
      <c r="L1585" s="4" t="n">
        <v>39</v>
      </c>
      <c r="M1585" s="4" t="n">
        <v>12</v>
      </c>
      <c r="N1585" s="5" t="n">
        <v>16.7</v>
      </c>
      <c r="O1585" s="3" t="inlineStr">
        <is>
          <t>2인숙소.6개월 단기계약가능.에어컨2개.화장실2개</t>
        </is>
      </c>
      <c r="P1585" s="6">
        <f>HYPERLINK("https://fin.land.naver.com/articles/2652556288", "매물Link")</f>
        <v/>
      </c>
      <c r="Q1585" s="6">
        <f>HYPERLINK("https://map.naver.com/p/search/조치원읍 침산리 255-4", "지도Link")</f>
        <v/>
      </c>
      <c r="R1585" s="6">
        <f>HYPERLINK("http://www.eum.go.kr/web/ar/lu/luLandDet.jsp?pnu=3611025028102550004&amp;isNoScr=script&amp;mode=search",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289.8</v>
      </c>
      <c r="V1585" s="4" t="n">
        <v>216.9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정방형</t>
        </is>
      </c>
      <c r="AA1585" s="3" t="inlineStr">
        <is>
          <t>세로한면(가)</t>
        </is>
      </c>
    </row>
    <row r="1586">
      <c r="A1586" s="3" t="inlineStr">
        <is>
          <t>조치원읍 침산리 256-11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200</v>
      </c>
      <c r="H1586" s="4" t="n">
        <v>30</v>
      </c>
      <c r="I1586" s="4" t="n">
        <v>20</v>
      </c>
      <c r="J1586" s="4" t="n">
        <v>6</v>
      </c>
      <c r="K1586" s="5" t="n">
        <v>5</v>
      </c>
      <c r="L1586" s="4" t="n">
        <v>20</v>
      </c>
      <c r="M1586" s="4" t="n">
        <v>6</v>
      </c>
      <c r="N1586" s="5" t="n">
        <v>5</v>
      </c>
      <c r="O1586" s="3" t="inlineStr">
        <is>
          <t>단기가능 깨끗한 풀옵션 원룸 남향</t>
        </is>
      </c>
      <c r="P1586" s="6">
        <f>HYPERLINK("https://fin.land.naver.com/articles/2653345126", "매물Link")</f>
        <v/>
      </c>
      <c r="Q1586" s="6">
        <f>HYPERLINK("https://map.naver.com/p/search/조치원읍 침산리 256-11", "지도Link")</f>
        <v/>
      </c>
      <c r="R1586" s="6">
        <f>HYPERLINK("http://www.eum.go.kr/web/ar/lu/luLandDet.jsp?pnu=3611025028102560011&amp;isNoScr=script&amp;mode=search", "토지이음")</f>
        <v/>
      </c>
      <c r="S1586" s="3" t="inlineStr">
        <is>
          <t>김준희</t>
        </is>
      </c>
      <c r="T1586" s="4" t="n">
        <v>1</v>
      </c>
      <c r="U1586" s="5" t="n">
        <v>633.1</v>
      </c>
      <c r="V1586" s="4" t="n">
        <v>215.4</v>
      </c>
      <c r="W1586" s="3" t="inlineStr">
        <is>
          <t>지정되지않음</t>
        </is>
      </c>
      <c r="X1586" s="3" t="inlineStr">
        <is>
          <t>상업용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중로각지</t>
        </is>
      </c>
    </row>
    <row r="1587">
      <c r="A1587" s="3" t="inlineStr">
        <is>
          <t>조치원읍 침산리 256-11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전세</t>
        </is>
      </c>
      <c r="G1587" s="4" t="n">
        <v>5500</v>
      </c>
      <c r="H1587" s="4" t="n">
        <v>0</v>
      </c>
      <c r="I1587" s="4" t="n">
        <v>20</v>
      </c>
      <c r="J1587" s="4" t="n">
        <v>6</v>
      </c>
      <c r="K1587" s="5" t="n">
        <v>916.7</v>
      </c>
      <c r="L1587" s="4" t="n">
        <v>20</v>
      </c>
      <c r="M1587" s="4" t="n">
        <v>6</v>
      </c>
      <c r="N1587" s="5" t="n">
        <v>916.7</v>
      </c>
      <c r="O1587" s="3" t="inlineStr">
        <is>
          <t>침산리 원룸 전세 깨끗한 원룸</t>
        </is>
      </c>
      <c r="P1587" s="6">
        <f>HYPERLINK("https://fin.land.naver.com/articles/2653345415", "매물Link")</f>
        <v/>
      </c>
      <c r="Q1587" s="6">
        <f>HYPERLINK("https://map.naver.com/p/search/조치원읍 침산리 256-11", "지도Link")</f>
        <v/>
      </c>
      <c r="R1587" s="6">
        <f>HYPERLINK("http://www.eum.go.kr/web/ar/lu/luLandDet.jsp?pnu=3611025028102560011&amp;isNoScr=script&amp;mode=search", "토지이음")</f>
        <v/>
      </c>
      <c r="S1587" s="3" t="inlineStr">
        <is>
          <t>김준희</t>
        </is>
      </c>
      <c r="T1587" s="4" t="n">
        <v>1</v>
      </c>
      <c r="U1587" s="5" t="n">
        <v>633.1</v>
      </c>
      <c r="V1587" s="4" t="n">
        <v>215.4</v>
      </c>
      <c r="W1587" s="3" t="inlineStr">
        <is>
          <t>지정되지않음</t>
        </is>
      </c>
      <c r="X1587" s="3" t="inlineStr">
        <is>
          <t>상업용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중로각지</t>
        </is>
      </c>
    </row>
    <row r="1588">
      <c r="A1588" s="3" t="inlineStr">
        <is>
          <t>조치원읍 침산리 256-11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26</v>
      </c>
      <c r="J1588" s="4" t="n">
        <v>8</v>
      </c>
      <c r="K1588" s="5" t="n">
        <v>3.8</v>
      </c>
      <c r="L1588" s="4" t="n">
        <v>26</v>
      </c>
      <c r="M1588" s="4" t="n">
        <v>8</v>
      </c>
      <c r="N1588" s="5" t="n">
        <v>3.8</v>
      </c>
      <c r="O1588" s="3" t="inlineStr">
        <is>
          <t>침산리 월세 풀옵션</t>
        </is>
      </c>
      <c r="P1588" s="6">
        <f>HYPERLINK("https://fin.land.naver.com/articles/2652539762", "매물Link")</f>
        <v/>
      </c>
      <c r="Q1588" s="6">
        <f>HYPERLINK("https://map.naver.com/p/search/조치원읍 침산리 256-11", "지도Link")</f>
        <v/>
      </c>
      <c r="R1588" s="6">
        <f>HYPERLINK("http://www.eum.go.kr/web/ar/lu/luLandDet.jsp?pnu=3611025028102560011&amp;isNoScr=script&amp;mode=search", "토지이음")</f>
        <v/>
      </c>
      <c r="S1588" s="3" t="inlineStr">
        <is>
          <t>김준희</t>
        </is>
      </c>
      <c r="T1588" s="4" t="n">
        <v>1</v>
      </c>
      <c r="U1588" s="5" t="n">
        <v>633.1</v>
      </c>
      <c r="V1588" s="4" t="n">
        <v>215.4</v>
      </c>
      <c r="W1588" s="3" t="inlineStr">
        <is>
          <t>지정되지않음</t>
        </is>
      </c>
      <c r="X1588" s="3" t="inlineStr">
        <is>
          <t>상업용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중로각지</t>
        </is>
      </c>
    </row>
    <row r="1589">
      <c r="A1589" s="3" t="inlineStr">
        <is>
          <t>조치원읍 침산리 257-10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4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153000</v>
      </c>
      <c r="H1589" s="4" t="n">
        <v>0</v>
      </c>
      <c r="I1589" s="4" t="n">
        <v>336</v>
      </c>
      <c r="J1589" s="4" t="n">
        <v>102</v>
      </c>
      <c r="K1589" s="5" t="n">
        <v>1500</v>
      </c>
      <c r="L1589" s="4" t="n">
        <v>567</v>
      </c>
      <c r="M1589" s="4" t="n">
        <v>172</v>
      </c>
      <c r="N1589" s="5" t="n">
        <v>889.5</v>
      </c>
      <c r="O1589" s="3" t="inlineStr">
        <is>
          <t>nan</t>
        </is>
      </c>
      <c r="P1589" s="6">
        <f>HYPERLINK("https://fin.land.naver.com/articles/2654386653", "매물Link")</f>
        <v/>
      </c>
      <c r="Q1589" s="6">
        <f>HYPERLINK("https://map.naver.com/p/search/조치원읍 침산리 257-10", "지도Link")</f>
        <v/>
      </c>
      <c r="R1589" s="6">
        <f>HYPERLINK("http://www.eum.go.kr/web/ar/lu/luLandDet.jsp?pnu=3611025028102570010&amp;isNoScr=script&amp;mode=search",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339.8</v>
      </c>
      <c r="V1589" s="4" t="n">
        <v>336.7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소로한면</t>
        </is>
      </c>
    </row>
    <row r="1590">
      <c r="A1590" s="3" t="inlineStr">
        <is>
          <t>조치원읍 침산리 257-15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35</v>
      </c>
      <c r="I1590" s="4" t="n">
        <v>0</v>
      </c>
      <c r="J1590" s="4" t="n">
        <v>0</v>
      </c>
      <c r="K1590" s="5" t="n">
        <v>0</v>
      </c>
      <c r="L1590" s="4" t="n">
        <v>26</v>
      </c>
      <c r="M1590" s="4" t="n">
        <v>8</v>
      </c>
      <c r="N1590" s="5" t="n">
        <v>4.4</v>
      </c>
      <c r="O1590" s="3" t="inlineStr">
        <is>
          <t>L 엘베. 역3분. 넓은룸. 위치최고</t>
        </is>
      </c>
      <c r="P1590" s="6">
        <f>HYPERLINK("https://fin.land.naver.com/articles/2651114560", "매물Link")</f>
        <v/>
      </c>
      <c r="Q1590" s="6">
        <f>HYPERLINK("https://map.naver.com/p/search/조치원읍 침산리 257-15", "지도Link")</f>
        <v/>
      </c>
      <c r="R1590" s="6">
        <f>HYPERLINK("http://www.eum.go.kr/web/ar/lu/luLandDet.jsp?pnu=3611025028102570015&amp;isNoScr=script&amp;mode=search",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336.2</v>
      </c>
      <c r="V1590" s="4" t="n">
        <v>226.4</v>
      </c>
      <c r="W1590" s="3" t="inlineStr">
        <is>
          <t>지정되지않음</t>
        </is>
      </c>
      <c r="X1590" s="3" t="inlineStr">
        <is>
          <t>주상용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257-15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33</v>
      </c>
      <c r="I1591" s="4" t="n">
        <v>39</v>
      </c>
      <c r="J1591" s="4" t="n">
        <v>12</v>
      </c>
      <c r="K1591" s="5" t="n">
        <v>2.8</v>
      </c>
      <c r="L1591" s="4" t="n">
        <v>26</v>
      </c>
      <c r="M1591" s="4" t="n">
        <v>8</v>
      </c>
      <c r="N1591" s="5" t="n">
        <v>4.1</v>
      </c>
      <c r="O1591" s="3" t="inlineStr">
        <is>
          <t>남향넓은원룸.엘리베이터있는 건물.전자제품 옵션</t>
        </is>
      </c>
      <c r="P1591" s="6">
        <f>HYPERLINK("https://fin.land.naver.com/articles/2655635294", "매물Link")</f>
        <v/>
      </c>
      <c r="Q1591" s="6">
        <f>HYPERLINK("https://map.naver.com/p/search/조치원읍 침산리 257-15", "지도Link")</f>
        <v/>
      </c>
      <c r="R1591" s="6">
        <f>HYPERLINK("http://www.eum.go.kr/web/ar/lu/luLandDet.jsp?pnu=3611025028102570015&amp;isNoScr=script&amp;mode=search",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336.2</v>
      </c>
      <c r="V1591" s="4" t="n">
        <v>226.4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소로한면</t>
        </is>
      </c>
    </row>
    <row r="1592">
      <c r="A1592" s="3" t="inlineStr">
        <is>
          <t>조치원읍 침산리 257-8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23</v>
      </c>
      <c r="J1592" s="4" t="n">
        <v>7</v>
      </c>
      <c r="K1592" s="5" t="n">
        <v>4.3</v>
      </c>
      <c r="L1592" s="4" t="n">
        <v>23</v>
      </c>
      <c r="M1592" s="4" t="n">
        <v>7</v>
      </c>
      <c r="N1592" s="5" t="n">
        <v>4.3</v>
      </c>
      <c r="O1592" s="3" t="inlineStr">
        <is>
          <t>침산리 원룸 월세 즉시입주 단기가능</t>
        </is>
      </c>
      <c r="P1592" s="6">
        <f>HYPERLINK("https://fin.land.naver.com/articles/2652373282", "매물Link")</f>
        <v/>
      </c>
      <c r="Q1592" s="6">
        <f>HYPERLINK("https://map.naver.com/p/search/조치원읍 침산리 257-8", "지도Link")</f>
        <v/>
      </c>
      <c r="R1592" s="6">
        <f>HYPERLINK("http://www.eum.go.kr/web/ar/lu/luLandDet.jsp?pnu=3611025028102570008&amp;isNoScr=script&amp;mode=search",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412.6</v>
      </c>
      <c r="V1592" s="4" t="n">
        <v>292</v>
      </c>
      <c r="W1592" s="3" t="inlineStr">
        <is>
          <t>지정되지않음</t>
        </is>
      </c>
      <c r="X1592" s="3" t="inlineStr">
        <is>
          <t>주상기타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세로각지(가)</t>
        </is>
      </c>
    </row>
    <row r="1593">
      <c r="A1593" s="3" t="inlineStr">
        <is>
          <t>조치원읍 침산리 258-1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100</v>
      </c>
      <c r="H1593" s="4" t="n">
        <v>27</v>
      </c>
      <c r="I1593" s="4" t="n">
        <v>19</v>
      </c>
      <c r="J1593" s="4" t="n">
        <v>6</v>
      </c>
      <c r="K1593" s="5" t="n">
        <v>4.5</v>
      </c>
      <c r="L1593" s="4" t="n">
        <v>19</v>
      </c>
      <c r="M1593" s="4" t="n">
        <v>6</v>
      </c>
      <c r="N1593" s="5" t="n">
        <v>4.5</v>
      </c>
      <c r="O1593" s="3" t="inlineStr">
        <is>
          <t>분리형 원룸</t>
        </is>
      </c>
      <c r="P1593" s="6">
        <f>HYPERLINK("https://fin.land.naver.com/articles/2653260357", "매물Link")</f>
        <v/>
      </c>
      <c r="Q1593" s="6">
        <f>HYPERLINK("https://map.naver.com/p/search/조치원읍 침산리 258-1", "지도Link")</f>
        <v/>
      </c>
      <c r="R1593" s="6">
        <f>HYPERLINK("http://www.eum.go.kr/web/ar/lu/luLandDet.jsp?pnu=3611025028102580001&amp;isNoScr=script&amp;mode=search", "토지이음")</f>
        <v/>
      </c>
      <c r="S1593" s="3" t="inlineStr">
        <is>
          <t>골드</t>
        </is>
      </c>
      <c r="T1593" s="4" t="n">
        <v>1</v>
      </c>
      <c r="U1593" s="5" t="n">
        <v>346.8</v>
      </c>
      <c r="V1593" s="4" t="n">
        <v>237.5</v>
      </c>
      <c r="W1593" s="3" t="inlineStr">
        <is>
          <t>지정되지않음</t>
        </is>
      </c>
      <c r="X1593" s="3" t="inlineStr">
        <is>
          <t>주상기타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소로각지</t>
        </is>
      </c>
    </row>
    <row r="1594">
      <c r="A1594" s="3" t="inlineStr">
        <is>
          <t>조치원읍 침산리 258-13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23</v>
      </c>
      <c r="J1594" s="4" t="n">
        <v>7</v>
      </c>
      <c r="K1594" s="5" t="n">
        <v>4.3</v>
      </c>
      <c r="L1594" s="4" t="n">
        <v>23</v>
      </c>
      <c r="M1594" s="4" t="n">
        <v>7</v>
      </c>
      <c r="N1594" s="5" t="n">
        <v>4.3</v>
      </c>
      <c r="O1594" s="3" t="inlineStr">
        <is>
          <t>조치원 침산리 원룸 월세</t>
        </is>
      </c>
      <c r="P1594" s="6">
        <f>HYPERLINK("https://fin.land.naver.com/articles/2655917077", "매물Link")</f>
        <v/>
      </c>
      <c r="Q1594" s="6">
        <f>HYPERLINK("https://map.naver.com/p/search/조치원읍 침산리 258-13", "지도Link")</f>
        <v/>
      </c>
      <c r="R1594" s="6">
        <f>HYPERLINK("http://www.eum.go.kr/web/ar/lu/luLandDet.jsp?pnu=3611025028102580013&amp;isNoScr=script&amp;mode=search",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283.9</v>
      </c>
      <c r="V1594" s="4" t="n">
        <v>267.5</v>
      </c>
      <c r="W1594" s="3" t="inlineStr">
        <is>
          <t>지정되지않음</t>
        </is>
      </c>
      <c r="X1594" s="3" t="inlineStr">
        <is>
          <t>주상기타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세로한면(가)</t>
        </is>
      </c>
    </row>
    <row r="1595">
      <c r="A1595" s="3" t="inlineStr">
        <is>
          <t>조치원읍 침산리 258-7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31</v>
      </c>
      <c r="I1595" s="4" t="n">
        <v>23</v>
      </c>
      <c r="J1595" s="4" t="n">
        <v>7</v>
      </c>
      <c r="K1595" s="5" t="n">
        <v>4.4</v>
      </c>
      <c r="L1595" s="4" t="n">
        <v>23</v>
      </c>
      <c r="M1595" s="4" t="n">
        <v>7</v>
      </c>
      <c r="N1595" s="5" t="n">
        <v>4.4</v>
      </c>
      <c r="O1595" s="3" t="inlineStr">
        <is>
          <t>분리형 원룸이며, 조치원시장, 조치원역 옆에 위치하여 교통 편리</t>
        </is>
      </c>
      <c r="P1595" s="6">
        <f>HYPERLINK("https://fin.land.naver.com/articles/2653988879", "매물Link")</f>
        <v/>
      </c>
      <c r="Q1595" s="6">
        <f>HYPERLINK("https://map.naver.com/p/search/조치원읍 침산리 258-7", "지도Link")</f>
        <v/>
      </c>
      <c r="R1595" s="6">
        <f>HYPERLINK("http://www.eum.go.kr/web/ar/lu/luLandDet.jsp?pnu=3611025028102580007&amp;isNoScr=script&amp;mode=search",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286.5</v>
      </c>
      <c r="V1595" s="4" t="n">
        <v>328.6</v>
      </c>
      <c r="W1595" s="3" t="inlineStr">
        <is>
          <t>지정되지않음</t>
        </is>
      </c>
      <c r="X1595" s="3" t="inlineStr">
        <is>
          <t>주상기타</t>
        </is>
      </c>
      <c r="Y1595" s="3" t="inlineStr">
        <is>
          <t>평지</t>
        </is>
      </c>
      <c r="Z1595" s="3" t="inlineStr">
        <is>
          <t>가로장방</t>
        </is>
      </c>
      <c r="AA1595" s="3" t="inlineStr">
        <is>
          <t>세로한면(가)</t>
        </is>
      </c>
    </row>
    <row r="1596">
      <c r="A1596" s="3" t="inlineStr">
        <is>
          <t>조치원읍 침산리 258-7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0</v>
      </c>
      <c r="J1596" s="4" t="n">
        <v>0</v>
      </c>
      <c r="K1596" s="5" t="n">
        <v>0</v>
      </c>
      <c r="L1596" s="4" t="n">
        <v>21</v>
      </c>
      <c r="M1596" s="4" t="n">
        <v>6</v>
      </c>
      <c r="N1596" s="5" t="n">
        <v>5</v>
      </c>
      <c r="O1596" s="3" t="inlineStr">
        <is>
          <t>인기좋은  풀옵션완비방   엘베설치   바로입주  주차편함 조치원역5분</t>
        </is>
      </c>
      <c r="P1596" s="6">
        <f>HYPERLINK("https://fin.land.naver.com/articles/2655128295", "매물Link")</f>
        <v/>
      </c>
      <c r="Q1596" s="6">
        <f>HYPERLINK("https://map.naver.com/p/search/조치원읍 침산리 258-7", "지도Link")</f>
        <v/>
      </c>
      <c r="R1596" s="6">
        <f>HYPERLINK("http://www.eum.go.kr/web/ar/lu/luLandDet.jsp?pnu=3611025028102580007&amp;isNoScr=script&amp;mode=search", "토지이음")</f>
        <v/>
      </c>
      <c r="S1596" s="3" t="inlineStr">
        <is>
          <t>연서으뜸</t>
        </is>
      </c>
      <c r="T1596" s="4" t="n">
        <v>1</v>
      </c>
      <c r="U1596" s="5" t="n">
        <v>286.5</v>
      </c>
      <c r="V1596" s="4" t="n">
        <v>328.6</v>
      </c>
      <c r="W1596" s="3" t="inlineStr">
        <is>
          <t>지정되지않음</t>
        </is>
      </c>
      <c r="X1596" s="3" t="inlineStr">
        <is>
          <t>주상기타</t>
        </is>
      </c>
      <c r="Y1596" s="3" t="inlineStr">
        <is>
          <t>평지</t>
        </is>
      </c>
      <c r="Z1596" s="3" t="inlineStr">
        <is>
          <t>가로장방</t>
        </is>
      </c>
      <c r="AA1596" s="3" t="inlineStr">
        <is>
          <t>세로한면(가)</t>
        </is>
      </c>
    </row>
    <row r="1597">
      <c r="A1597" s="3" t="inlineStr">
        <is>
          <t>조치원읍 침산리 264-3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단독</t>
        </is>
      </c>
      <c r="F1597" s="3" t="inlineStr">
        <is>
          <t>월세</t>
        </is>
      </c>
      <c r="G1597" s="4" t="n">
        <v>1000</v>
      </c>
      <c r="H1597" s="4" t="n">
        <v>70</v>
      </c>
      <c r="I1597" s="4" t="n">
        <v>115</v>
      </c>
      <c r="J1597" s="4" t="n">
        <v>35</v>
      </c>
      <c r="K1597" s="5" t="n">
        <v>2</v>
      </c>
      <c r="L1597" s="4" t="n">
        <v>115</v>
      </c>
      <c r="M1597" s="4" t="n">
        <v>35</v>
      </c>
      <c r="N1597" s="5" t="n">
        <v>2</v>
      </c>
      <c r="O1597" s="3" t="inlineStr">
        <is>
          <t>nan</t>
        </is>
      </c>
      <c r="P1597" s="6">
        <f>HYPERLINK("https://fin.land.naver.com/articles/2655166694", "매물Link")</f>
        <v/>
      </c>
      <c r="Q1597" s="6">
        <f>HYPERLINK("https://map.naver.com/p/search/조치원읍 침산리 264-3", "지도Link")</f>
        <v/>
      </c>
      <c r="R1597" s="6">
        <f>HYPERLINK("http://www.eum.go.kr/web/ar/lu/luLandDet.jsp?pnu=3611025028102640003&amp;isNoScr=script&amp;mode=search", "토지이음")</f>
        <v/>
      </c>
      <c r="S1597" s="3" t="inlineStr">
        <is>
          <t>상희</t>
        </is>
      </c>
      <c r="T1597" s="4" t="n">
        <v>1</v>
      </c>
      <c r="U1597" s="5" t="n">
        <v>376.9</v>
      </c>
      <c r="V1597" s="4" t="n">
        <v>260.7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265-9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300</v>
      </c>
      <c r="H1598" s="4" t="n">
        <v>40</v>
      </c>
      <c r="I1598" s="4" t="n">
        <v>40</v>
      </c>
      <c r="J1598" s="4" t="n">
        <v>12</v>
      </c>
      <c r="K1598" s="5" t="n">
        <v>3.3</v>
      </c>
      <c r="L1598" s="4" t="n">
        <v>40</v>
      </c>
      <c r="M1598" s="4" t="n">
        <v>12</v>
      </c>
      <c r="N1598" s="5" t="n">
        <v>3.3</v>
      </c>
      <c r="O1598" s="3" t="inlineStr">
        <is>
          <t>nan</t>
        </is>
      </c>
      <c r="P1598" s="6">
        <f>HYPERLINK("https://fin.land.naver.com/articles/2653782511", "매물Link")</f>
        <v/>
      </c>
      <c r="Q1598" s="6">
        <f>HYPERLINK("https://map.naver.com/p/search/조치원읍 침산리 265-9", "지도Link")</f>
        <v/>
      </c>
      <c r="R1598" s="6">
        <f>HYPERLINK("http://www.eum.go.kr/web/ar/lu/luLandDet.jsp?pnu=3611025028102650009&amp;isNoScr=script&amp;mode=search", "토지이음")</f>
        <v/>
      </c>
      <c r="S1598" s="3" t="inlineStr">
        <is>
          <t>상희</t>
        </is>
      </c>
      <c r="T1598" s="4" t="n">
        <v>1</v>
      </c>
      <c r="U1598" s="5" t="n">
        <v>419.8</v>
      </c>
      <c r="V1598" s="4" t="n">
        <v>274.8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266-12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100000</v>
      </c>
      <c r="H1599" s="4" t="n">
        <v>0</v>
      </c>
      <c r="I1599" s="4" t="n">
        <v>259</v>
      </c>
      <c r="J1599" s="4" t="n">
        <v>78</v>
      </c>
      <c r="K1599" s="5" t="n">
        <v>1282.1</v>
      </c>
      <c r="L1599" s="4" t="n">
        <v>473</v>
      </c>
      <c r="M1599" s="4" t="n">
        <v>143</v>
      </c>
      <c r="N1599" s="5" t="n">
        <v>699.3</v>
      </c>
      <c r="O1599" s="3" t="inlineStr">
        <is>
          <t>다가구 통매 관리잘된건물</t>
        </is>
      </c>
      <c r="P1599" s="6">
        <f>HYPERLINK("https://fin.land.naver.com/articles/2655961427", "매물Link")</f>
        <v/>
      </c>
      <c r="Q1599" s="6">
        <f>HYPERLINK("https://map.naver.com/p/search/조치원읍 침산리 266-12", "지도Link")</f>
        <v/>
      </c>
      <c r="R1599" s="6">
        <f>HYPERLINK("http://www.eum.go.kr/web/ar/lu/luLandDet.jsp?pnu=3611025028102660012&amp;isNoScr=script&amp;mode=search", "토지이음")</f>
        <v/>
      </c>
      <c r="S1599" s="3" t="inlineStr">
        <is>
          <t>상희</t>
        </is>
      </c>
      <c r="T1599" s="4" t="n">
        <v>1</v>
      </c>
      <c r="U1599" s="5" t="n">
        <v>318.2</v>
      </c>
      <c r="V1599" s="4" t="n">
        <v>259.5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소로한면</t>
        </is>
      </c>
    </row>
    <row r="1600">
      <c r="A1600" s="3" t="inlineStr">
        <is>
          <t>조치원읍 침산리 266-13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4500</v>
      </c>
      <c r="H1600" s="4" t="n">
        <v>0</v>
      </c>
      <c r="I1600" s="4" t="n">
        <v>19</v>
      </c>
      <c r="J1600" s="4" t="n">
        <v>6</v>
      </c>
      <c r="K1600" s="5" t="n">
        <v>750</v>
      </c>
      <c r="L1600" s="4" t="n">
        <v>19</v>
      </c>
      <c r="M1600" s="4" t="n">
        <v>6</v>
      </c>
      <c r="N1600" s="5" t="n">
        <v>750</v>
      </c>
      <c r="O1600" s="3" t="inlineStr">
        <is>
          <t>원룸 전세,  LH도 가능</t>
        </is>
      </c>
      <c r="P1600" s="6">
        <f>HYPERLINK("https://fin.land.naver.com/articles/2653258812", "매물Link")</f>
        <v/>
      </c>
      <c r="Q1600" s="6">
        <f>HYPERLINK("https://map.naver.com/p/search/조치원읍 침산리 266-13", "지도Link")</f>
        <v/>
      </c>
      <c r="R1600" s="6">
        <f>HYPERLINK("http://www.eum.go.kr/web/ar/lu/luLandDet.jsp?pnu=3611025028102660013&amp;isNoScr=script&amp;mode=search", "토지이음")</f>
        <v/>
      </c>
      <c r="S1600" s="3" t="inlineStr">
        <is>
          <t>골드</t>
        </is>
      </c>
      <c r="T1600" s="4" t="n">
        <v>1</v>
      </c>
      <c r="U1600" s="5" t="n">
        <v>320.1</v>
      </c>
      <c r="V1600" s="4" t="n">
        <v>284.8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266-4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150</v>
      </c>
      <c r="H1601" s="4" t="n">
        <v>27</v>
      </c>
      <c r="I1601" s="4" t="n">
        <v>126</v>
      </c>
      <c r="J1601" s="4" t="n">
        <v>38</v>
      </c>
      <c r="K1601" s="5" t="n">
        <v>0.7</v>
      </c>
      <c r="L1601" s="4" t="n">
        <v>23</v>
      </c>
      <c r="M1601" s="4" t="n">
        <v>7</v>
      </c>
      <c r="N1601" s="5" t="n">
        <v>3.9</v>
      </c>
      <c r="O1601" s="3" t="inlineStr">
        <is>
          <t>nan</t>
        </is>
      </c>
      <c r="P1601" s="6">
        <f>HYPERLINK("https://fin.land.naver.com/articles/2651344572", "매물Link")</f>
        <v/>
      </c>
      <c r="Q1601" s="6">
        <f>HYPERLINK("https://map.naver.com/p/search/조치원읍 침산리 266-4", "지도Link")</f>
        <v/>
      </c>
      <c r="R1601" s="6">
        <f>HYPERLINK("http://www.eum.go.kr/web/ar/lu/luLandDet.jsp?pnu=3611025028102660004&amp;isNoScr=script&amp;mode=search",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286.8</v>
      </c>
      <c r="V1601" s="4" t="n">
        <v>214.1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266-4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150</v>
      </c>
      <c r="H1602" s="4" t="n">
        <v>27</v>
      </c>
      <c r="I1602" s="4" t="n">
        <v>126</v>
      </c>
      <c r="J1602" s="4" t="n">
        <v>38</v>
      </c>
      <c r="K1602" s="5" t="n">
        <v>0.7</v>
      </c>
      <c r="L1602" s="4" t="n">
        <v>23</v>
      </c>
      <c r="M1602" s="4" t="n">
        <v>7</v>
      </c>
      <c r="N1602" s="5" t="n">
        <v>3.9</v>
      </c>
      <c r="O1602" s="3" t="inlineStr">
        <is>
          <t>nan</t>
        </is>
      </c>
      <c r="P1602" s="6">
        <f>HYPERLINK("https://fin.land.naver.com/articles/2652272439", "매물Link")</f>
        <v/>
      </c>
      <c r="Q1602" s="6">
        <f>HYPERLINK("https://map.naver.com/p/search/조치원읍 침산리 266-4", "지도Link")</f>
        <v/>
      </c>
      <c r="R1602" s="6">
        <f>HYPERLINK("http://www.eum.go.kr/web/ar/lu/luLandDet.jsp?pnu=3611025028102660004&amp;isNoScr=script&amp;mode=search",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286.8</v>
      </c>
      <c r="V1602" s="4" t="n">
        <v>214.1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266-6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월세</t>
        </is>
      </c>
      <c r="G1603" s="4" t="n">
        <v>200</v>
      </c>
      <c r="H1603" s="4" t="n">
        <v>30</v>
      </c>
      <c r="I1603" s="4" t="n">
        <v>35</v>
      </c>
      <c r="J1603" s="4" t="n">
        <v>11</v>
      </c>
      <c r="K1603" s="5" t="n">
        <v>2.7</v>
      </c>
      <c r="L1603" s="4" t="n">
        <v>35</v>
      </c>
      <c r="M1603" s="4" t="n">
        <v>11</v>
      </c>
      <c r="N1603" s="5" t="n">
        <v>2.7</v>
      </c>
      <c r="O1603" s="3" t="inlineStr">
        <is>
          <t>공용주차장이 바로 앞에 있어 주차편리. 깨끗한 원룸 공실로 즉시입주</t>
        </is>
      </c>
      <c r="P1603" s="6">
        <f>HYPERLINK("https://fin.land.naver.com/articles/2654844655", "매물Link")</f>
        <v/>
      </c>
      <c r="Q1603" s="6">
        <f>HYPERLINK("https://map.naver.com/p/search/조치원읍 침산리 266-6", "지도Link")</f>
        <v/>
      </c>
      <c r="R1603" s="6">
        <f>HYPERLINK("http://www.eum.go.kr/web/ar/lu/luLandDet.jsp?pnu=3611025028102660006&amp;isNoScr=script&amp;mode=search", "토지이음")</f>
        <v/>
      </c>
      <c r="S1603" s="3" t="inlineStr">
        <is>
          <t>세종대장</t>
        </is>
      </c>
      <c r="T1603" s="4" t="n">
        <v>1</v>
      </c>
      <c r="U1603" s="5" t="n">
        <v>292.7</v>
      </c>
      <c r="V1603" s="4" t="n">
        <v>240.4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267-11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100</v>
      </c>
      <c r="H1604" s="4" t="n">
        <v>30</v>
      </c>
      <c r="I1604" s="4" t="n">
        <v>23</v>
      </c>
      <c r="J1604" s="4" t="n">
        <v>7</v>
      </c>
      <c r="K1604" s="5" t="n">
        <v>4.3</v>
      </c>
      <c r="L1604" s="4" t="n">
        <v>23</v>
      </c>
      <c r="M1604" s="4" t="n">
        <v>7</v>
      </c>
      <c r="N1604" s="5" t="n">
        <v>4.3</v>
      </c>
      <c r="O1604" s="3" t="inlineStr">
        <is>
          <t>침산리 원룸 월세</t>
        </is>
      </c>
      <c r="P1604" s="6">
        <f>HYPERLINK("https://fin.land.naver.com/articles/2655926238", "매물Link")</f>
        <v/>
      </c>
      <c r="Q1604" s="6">
        <f>HYPERLINK("https://map.naver.com/p/search/조치원읍 침산리 267-11", "지도Link")</f>
        <v/>
      </c>
      <c r="R1604" s="6">
        <f>HYPERLINK("http://www.eum.go.kr/web/ar/lu/luLandDet.jsp?pnu=3611025028102670011&amp;isNoScr=script&amp;mode=search", "토지이음")</f>
        <v/>
      </c>
      <c r="S1604" s="3" t="inlineStr">
        <is>
          <t>김준희</t>
        </is>
      </c>
      <c r="T1604" s="4" t="n">
        <v>1</v>
      </c>
      <c r="U1604" s="5" t="n">
        <v>286.8</v>
      </c>
      <c r="V1604" s="4" t="n">
        <v>254.5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267-11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</v>
      </c>
      <c r="H1605" s="4" t="n">
        <v>30</v>
      </c>
      <c r="I1605" s="4" t="n">
        <v>23</v>
      </c>
      <c r="J1605" s="4" t="n">
        <v>7</v>
      </c>
      <c r="K1605" s="5" t="n">
        <v>4.3</v>
      </c>
      <c r="L1605" s="4" t="n">
        <v>23</v>
      </c>
      <c r="M1605" s="4" t="n">
        <v>7</v>
      </c>
      <c r="N1605" s="5" t="n">
        <v>4.3</v>
      </c>
      <c r="O1605" s="3" t="inlineStr">
        <is>
          <t>nan</t>
        </is>
      </c>
      <c r="P1605" s="6">
        <f>HYPERLINK("https://fin.land.naver.com/articles/2655926557", "매물Link")</f>
        <v/>
      </c>
      <c r="Q1605" s="6">
        <f>HYPERLINK("https://map.naver.com/p/search/조치원읍 침산리 267-11", "지도Link")</f>
        <v/>
      </c>
      <c r="R1605" s="6">
        <f>HYPERLINK("http://www.eum.go.kr/web/ar/lu/luLandDet.jsp?pnu=3611025028102670011&amp;isNoScr=script&amp;mode=search",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286.8</v>
      </c>
      <c r="V1605" s="4" t="n">
        <v>254.5</v>
      </c>
      <c r="W1605" s="3" t="inlineStr">
        <is>
          <t>지정되지않음</t>
        </is>
      </c>
      <c r="X1605" s="3" t="inlineStr">
        <is>
          <t>다세대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267-3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300</v>
      </c>
      <c r="H1606" s="4" t="n">
        <v>36</v>
      </c>
      <c r="I1606" s="4" t="n">
        <v>0</v>
      </c>
      <c r="J1606" s="4" t="n">
        <v>0</v>
      </c>
      <c r="K1606" s="5" t="n">
        <v>0</v>
      </c>
      <c r="L1606" s="4" t="n">
        <v>33</v>
      </c>
      <c r="M1606" s="4" t="n">
        <v>10</v>
      </c>
      <c r="N1606" s="5" t="n">
        <v>3.6</v>
      </c>
      <c r="O1606" s="3" t="inlineStr">
        <is>
          <t>인기좋은  풀옵션 완비 1.5룸   깔끔한 주방분리   편의점1분</t>
        </is>
      </c>
      <c r="P1606" s="6">
        <f>HYPERLINK("https://fin.land.naver.com/articles/2656258612", "매물Link")</f>
        <v/>
      </c>
      <c r="Q1606" s="6">
        <f>HYPERLINK("https://map.naver.com/p/search/조치원읍 침산리 267-3", "지도Link")</f>
        <v/>
      </c>
      <c r="R1606" s="6">
        <f>HYPERLINK("http://www.eum.go.kr/web/ar/lu/luLandDet.jsp?pnu=3611025028102670003&amp;isNoScr=script&amp;mode=search", "토지이음")</f>
        <v/>
      </c>
      <c r="S1606" s="3" t="inlineStr">
        <is>
          <t>연서으뜸</t>
        </is>
      </c>
      <c r="T1606" s="4" t="n">
        <v>1</v>
      </c>
      <c r="U1606" s="5" t="n">
        <v>318.2</v>
      </c>
      <c r="V1606" s="4" t="n">
        <v>276.3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소로한면</t>
        </is>
      </c>
    </row>
    <row r="1607">
      <c r="A1607" s="3" t="inlineStr">
        <is>
          <t>조치원읍 침산리 267-7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200</v>
      </c>
      <c r="H1607" s="4" t="n">
        <v>32</v>
      </c>
      <c r="I1607" s="4" t="n">
        <v>0</v>
      </c>
      <c r="J1607" s="4" t="n">
        <v>0</v>
      </c>
      <c r="K1607" s="5" t="n">
        <v>0</v>
      </c>
      <c r="L1607" s="4" t="n">
        <v>25</v>
      </c>
      <c r="M1607" s="4" t="n">
        <v>8</v>
      </c>
      <c r="N1607" s="5" t="n">
        <v>4</v>
      </c>
      <c r="O1607" s="3" t="inlineStr">
        <is>
          <t>넓고 깔끔한  풀옵션 완비방  엘베는기본   주방분리  조치원역 근접</t>
        </is>
      </c>
      <c r="P1607" s="6">
        <f>HYPERLINK("https://fin.land.naver.com/articles/2656064356", "매물Link")</f>
        <v/>
      </c>
      <c r="Q1607" s="6">
        <f>HYPERLINK("https://map.naver.com/p/search/조치원읍 침산리 267-7", "지도Link")</f>
        <v/>
      </c>
      <c r="R1607" s="6">
        <f>HYPERLINK("http://www.eum.go.kr/web/ar/lu/luLandDet.jsp?pnu=3611025028102670007&amp;isNoScr=script&amp;mode=search", "토지이음")</f>
        <v/>
      </c>
      <c r="S1607" s="3" t="inlineStr">
        <is>
          <t>연서으뜸</t>
        </is>
      </c>
      <c r="T1607" s="4" t="n">
        <v>1</v>
      </c>
      <c r="U1607" s="5" t="n">
        <v>428.4</v>
      </c>
      <c r="V1607" s="4" t="n">
        <v>337.6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267-9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40</v>
      </c>
      <c r="I1608" s="4" t="n">
        <v>23</v>
      </c>
      <c r="J1608" s="4" t="n">
        <v>7</v>
      </c>
      <c r="K1608" s="5" t="n">
        <v>5.7</v>
      </c>
      <c r="L1608" s="4" t="n">
        <v>23</v>
      </c>
      <c r="M1608" s="4" t="n">
        <v>7</v>
      </c>
      <c r="N1608" s="5" t="n">
        <v>5.7</v>
      </c>
      <c r="O1608" s="3" t="inlineStr">
        <is>
          <t>nan</t>
        </is>
      </c>
      <c r="P1608" s="6">
        <f>HYPERLINK("https://fin.land.naver.com/articles/2655907324", "매물Link")</f>
        <v/>
      </c>
      <c r="Q1608" s="6">
        <f>HYPERLINK("https://map.naver.com/p/search/조치원읍 침산리 267-9", "지도Link")</f>
        <v/>
      </c>
      <c r="R1608" s="6">
        <f>HYPERLINK("http://www.eum.go.kr/web/ar/lu/luLandDet.jsp?pnu=3611025028102670009&amp;isNoScr=script&amp;mode=search", "토지이음")</f>
        <v/>
      </c>
      <c r="S1608" s="3" t="inlineStr">
        <is>
          <t>상희</t>
        </is>
      </c>
      <c r="T1608" s="4" t="n">
        <v>2</v>
      </c>
      <c r="U1608" s="5" t="n">
        <v>286.8</v>
      </c>
      <c r="V1608" s="4" t="n">
        <v>220.1</v>
      </c>
      <c r="W1608" s="3" t="inlineStr">
        <is>
          <t>지정되지않음</t>
        </is>
      </c>
      <c r="X1608" s="3" t="inlineStr">
        <is>
          <t>다세대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267-9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112</v>
      </c>
      <c r="J1609" s="4" t="n">
        <v>34</v>
      </c>
      <c r="K1609" s="5" t="n">
        <v>0.9</v>
      </c>
      <c r="L1609" s="4" t="n">
        <v>22</v>
      </c>
      <c r="M1609" s="4" t="n">
        <v>7</v>
      </c>
      <c r="N1609" s="5" t="n">
        <v>4.3</v>
      </c>
      <c r="O1609" s="3" t="inlineStr">
        <is>
          <t>계약 후 즉시 입주 가능 원룸</t>
        </is>
      </c>
      <c r="P1609" s="6">
        <f>HYPERLINK("https://fin.land.naver.com/articles/2651069877", "매물Link")</f>
        <v/>
      </c>
      <c r="Q1609" s="6">
        <f>HYPERLINK("https://map.naver.com/p/search/조치원읍 침산리 267-9", "지도Link")</f>
        <v/>
      </c>
      <c r="R1609" s="6">
        <f>HYPERLINK("http://www.eum.go.kr/web/ar/lu/luLandDet.jsp?pnu=3611025028102670009&amp;isNoScr=script&amp;mode=search", "토지이음")</f>
        <v/>
      </c>
      <c r="S1609" s="3" t="inlineStr">
        <is>
          <t>김준희</t>
        </is>
      </c>
      <c r="T1609" s="4" t="n">
        <v>1</v>
      </c>
      <c r="U1609" s="5" t="n">
        <v>286.8</v>
      </c>
      <c r="V1609" s="4" t="n">
        <v>220.1</v>
      </c>
      <c r="W1609" s="3" t="inlineStr">
        <is>
          <t>지정되지않음</t>
        </is>
      </c>
      <c r="X1609" s="3" t="inlineStr">
        <is>
          <t>다세대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277-1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105000</v>
      </c>
      <c r="H1610" s="4" t="n">
        <v>0</v>
      </c>
      <c r="I1610" s="4" t="n">
        <v>234</v>
      </c>
      <c r="J1610" s="4" t="n">
        <v>71</v>
      </c>
      <c r="K1610" s="5" t="n">
        <v>1478.9</v>
      </c>
      <c r="L1610" s="4" t="n">
        <v>380</v>
      </c>
      <c r="M1610" s="4" t="n">
        <v>115</v>
      </c>
      <c r="N1610" s="5" t="n">
        <v>913</v>
      </c>
      <c r="O1610" s="3" t="inlineStr">
        <is>
          <t>nan</t>
        </is>
      </c>
      <c r="P1610" s="6">
        <f>HYPERLINK("https://fin.land.naver.com/articles/2654387062", "매물Link")</f>
        <v/>
      </c>
      <c r="Q1610" s="6">
        <f>HYPERLINK("https://map.naver.com/p/search/조치원읍 침산리 277-1", "지도Link")</f>
        <v/>
      </c>
      <c r="R1610" s="6">
        <f>HYPERLINK("http://www.eum.go.kr/web/ar/lu/luLandDet.jsp?pnu=3611025028102770001&amp;isNoScr=script&amp;mode=search",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280.3</v>
      </c>
      <c r="V1610" s="4" t="n">
        <v>234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세로한면(가)</t>
        </is>
      </c>
    </row>
    <row r="1611">
      <c r="A1611" s="3" t="inlineStr">
        <is>
          <t>조치원읍 침산리 278-10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34</v>
      </c>
      <c r="I1611" s="4" t="n">
        <v>42</v>
      </c>
      <c r="J1611" s="4" t="n">
        <v>13</v>
      </c>
      <c r="K1611" s="5" t="n">
        <v>2.6</v>
      </c>
      <c r="L1611" s="4" t="n">
        <v>36</v>
      </c>
      <c r="M1611" s="4" t="n">
        <v>11</v>
      </c>
      <c r="N1611" s="5" t="n">
        <v>3.1</v>
      </c>
      <c r="O1611" s="3" t="inlineStr">
        <is>
          <t>귀한 1.5룸 월세.거주 안전한 집.협의입주 가능.</t>
        </is>
      </c>
      <c r="P1611" s="6">
        <f>HYPERLINK("https://fin.land.naver.com/articles/2654585167", "매물Link")</f>
        <v/>
      </c>
      <c r="Q1611" s="6">
        <f>HYPERLINK("https://map.naver.com/p/search/조치원읍 침산리 278-10", "지도Link")</f>
        <v/>
      </c>
      <c r="R1611" s="6">
        <f>HYPERLINK("http://www.eum.go.kr/web/ar/lu/luLandDet.jsp?pnu=3611025028102780010&amp;isNoScr=script&amp;mode=search",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302.3</v>
      </c>
      <c r="V1611" s="4" t="n">
        <v>281.4</v>
      </c>
      <c r="W1611" s="3" t="inlineStr">
        <is>
          <t>지정되지않음</t>
        </is>
      </c>
      <c r="X1611" s="3" t="inlineStr">
        <is>
          <t>단독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소로각지</t>
        </is>
      </c>
    </row>
    <row r="1612">
      <c r="A1612" s="3" t="inlineStr">
        <is>
          <t>조치원읍 침산리 278-11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110000</v>
      </c>
      <c r="H1612" s="4" t="n">
        <v>0</v>
      </c>
      <c r="I1612" s="4" t="n">
        <v>257</v>
      </c>
      <c r="J1612" s="4" t="n">
        <v>78</v>
      </c>
      <c r="K1612" s="5" t="n">
        <v>1410.3</v>
      </c>
      <c r="L1612" s="4" t="n">
        <v>459</v>
      </c>
      <c r="M1612" s="4" t="n">
        <v>139</v>
      </c>
      <c r="N1612" s="5" t="n">
        <v>791.4</v>
      </c>
      <c r="O1612" s="3" t="inlineStr">
        <is>
          <t>nan</t>
        </is>
      </c>
      <c r="P1612" s="6">
        <f>HYPERLINK("https://fin.land.naver.com/articles/2654388700", "매물Link")</f>
        <v/>
      </c>
      <c r="Q1612" s="6">
        <f>HYPERLINK("https://map.naver.com/p/search/조치원읍 침산리 278-11", "지도Link")</f>
        <v/>
      </c>
      <c r="R1612" s="6">
        <f>HYPERLINK("http://www.eum.go.kr/web/ar/lu/luLandDet.jsp?pnu=3611025028102780011&amp;isNoScr=script&amp;mode=search",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296.4</v>
      </c>
      <c r="V1612" s="4" t="n">
        <v>257.9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279-1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다가구</t>
        </is>
      </c>
      <c r="F1613" s="3" t="inlineStr">
        <is>
          <t>월세</t>
        </is>
      </c>
      <c r="G1613" s="4" t="n">
        <v>200</v>
      </c>
      <c r="H1613" s="4" t="n">
        <v>29</v>
      </c>
      <c r="I1613" s="4" t="n">
        <v>26</v>
      </c>
      <c r="J1613" s="4" t="n">
        <v>8</v>
      </c>
      <c r="K1613" s="5" t="n">
        <v>3.6</v>
      </c>
      <c r="L1613" s="4" t="n">
        <v>26</v>
      </c>
      <c r="M1613" s="4" t="n">
        <v>8</v>
      </c>
      <c r="N1613" s="5" t="n">
        <v>3.6</v>
      </c>
      <c r="O1613" s="3" t="inlineStr">
        <is>
          <t>깨끗한 원룸이며, 냉장고, 세탁기 등 옵션 있음</t>
        </is>
      </c>
      <c r="P1613" s="6">
        <f>HYPERLINK("https://fin.land.naver.com/articles/2653985960", "매물Link")</f>
        <v/>
      </c>
      <c r="Q1613" s="6">
        <f>HYPERLINK("https://map.naver.com/p/search/조치원읍 침산리 279-1", "지도Link")</f>
        <v/>
      </c>
      <c r="R1613" s="6">
        <f>HYPERLINK("http://www.eum.go.kr/web/ar/lu/luLandDet.jsp?pnu=3611025028102790001&amp;isNoScr=script&amp;mode=search",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290.8</v>
      </c>
      <c r="V1613" s="4" t="n">
        <v>328.1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소로한면</t>
        </is>
      </c>
    </row>
    <row r="1614">
      <c r="A1614" s="3" t="inlineStr">
        <is>
          <t>조치원읍 침산리 279-15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단독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0</v>
      </c>
      <c r="J1614" s="4" t="n">
        <v>0</v>
      </c>
      <c r="K1614" s="5" t="n">
        <v>0</v>
      </c>
      <c r="L1614" s="4" t="n">
        <v>23</v>
      </c>
      <c r="M1614" s="4" t="n">
        <v>7</v>
      </c>
      <c r="N1614" s="5" t="n">
        <v>1.4</v>
      </c>
      <c r="O1614" s="3" t="inlineStr">
        <is>
          <t>전세,반전세 가능 도배예정</t>
        </is>
      </c>
      <c r="P1614" s="6">
        <f>HYPERLINK("https://fin.land.naver.com/articles/2652860593", "매물Link")</f>
        <v/>
      </c>
      <c r="Q1614" s="6">
        <f>HYPERLINK("https://map.naver.com/p/search/조치원읍 침산리 279-15", "지도Link")</f>
        <v/>
      </c>
      <c r="R1614" s="6">
        <f>HYPERLINK("http://www.eum.go.kr/web/ar/lu/luLandDet.jsp?pnu=3611025028102790015&amp;isNoScr=script&amp;mode=search",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299.6</v>
      </c>
      <c r="V1614" s="4" t="n">
        <v>315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279-15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일반원룸</t>
        </is>
      </c>
      <c r="F1615" s="3" t="inlineStr">
        <is>
          <t>전세</t>
        </is>
      </c>
      <c r="G1615" s="4" t="n">
        <v>3000</v>
      </c>
      <c r="H1615" s="4" t="n">
        <v>0</v>
      </c>
      <c r="I1615" s="4" t="n">
        <v>0</v>
      </c>
      <c r="J1615" s="4" t="n">
        <v>0</v>
      </c>
      <c r="K1615" s="5" t="n">
        <v>0</v>
      </c>
      <c r="L1615" s="4" t="n">
        <v>19</v>
      </c>
      <c r="M1615" s="4" t="n">
        <v>6</v>
      </c>
      <c r="N1615" s="5" t="n">
        <v>500</v>
      </c>
      <c r="O1615" s="3" t="inlineStr">
        <is>
          <t>안전한 전세</t>
        </is>
      </c>
      <c r="P1615" s="6">
        <f>HYPERLINK("https://fin.land.naver.com/articles/2652857402", "매물Link")</f>
        <v/>
      </c>
      <c r="Q1615" s="6">
        <f>HYPERLINK("https://map.naver.com/p/search/조치원읍 침산리 279-15", "지도Link")</f>
        <v/>
      </c>
      <c r="R1615" s="6">
        <f>HYPERLINK("http://www.eum.go.kr/web/ar/lu/luLandDet.jsp?pnu=3611025028102790015&amp;isNoScr=script&amp;mode=search",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299.6</v>
      </c>
      <c r="V1615" s="4" t="n">
        <v>315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279-15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315</v>
      </c>
      <c r="J1616" s="4" t="n">
        <v>95</v>
      </c>
      <c r="K1616" s="5" t="n">
        <v>1157.9</v>
      </c>
      <c r="L1616" s="4" t="n">
        <v>545</v>
      </c>
      <c r="M1616" s="4" t="n">
        <v>165</v>
      </c>
      <c r="N1616" s="5" t="n">
        <v>666.7</v>
      </c>
      <c r="O1616" s="3" t="inlineStr">
        <is>
          <t>다가주주택 연수익률 8%</t>
        </is>
      </c>
      <c r="P1616" s="6">
        <f>HYPERLINK("https://fin.land.naver.com/articles/2655706120", "매물Link")</f>
        <v/>
      </c>
      <c r="Q1616" s="6">
        <f>HYPERLINK("https://map.naver.com/p/search/조치원읍 침산리 279-15", "지도Link")</f>
        <v/>
      </c>
      <c r="R1616" s="6">
        <f>HYPERLINK("http://www.eum.go.kr/web/ar/lu/luLandDet.jsp?pnu=3611025028102790015&amp;isNoScr=script&amp;mode=search",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299.6</v>
      </c>
      <c r="V1616" s="4" t="n">
        <v>315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소로한면</t>
        </is>
      </c>
    </row>
    <row r="1617">
      <c r="A1617" s="3" t="inlineStr">
        <is>
          <t>조치원읍 침산리 279-20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31</v>
      </c>
      <c r="I1617" s="4" t="n">
        <v>0</v>
      </c>
      <c r="J1617" s="4" t="n">
        <v>0</v>
      </c>
      <c r="K1617" s="5" t="n">
        <v>0</v>
      </c>
      <c r="L1617" s="4" t="n">
        <v>20</v>
      </c>
      <c r="M1617" s="4" t="n">
        <v>6</v>
      </c>
      <c r="N1617" s="5" t="n">
        <v>5.2</v>
      </c>
      <c r="O1617" s="3" t="inlineStr">
        <is>
          <t>L 엘베. 깔끔. 열5분. 즉시입주가능</t>
        </is>
      </c>
      <c r="P1617" s="6">
        <f>HYPERLINK("https://fin.land.naver.com/articles/2652039172", "매물Link")</f>
        <v/>
      </c>
      <c r="Q1617" s="6">
        <f>HYPERLINK("https://map.naver.com/p/search/조치원읍 침산리 279-20", "지도Link")</f>
        <v/>
      </c>
      <c r="R1617" s="6">
        <f>HYPERLINK("http://www.eum.go.kr/web/ar/lu/luLandDet.jsp?pnu=3611025028102790020&amp;isNoScr=script&amp;mode=search", "토지이음")</f>
        <v/>
      </c>
      <c r="S1617" s="3" t="inlineStr">
        <is>
          <t>바다</t>
        </is>
      </c>
      <c r="T1617" s="4" t="n">
        <v>1</v>
      </c>
      <c r="U1617" s="5" t="n">
        <v>293.8</v>
      </c>
      <c r="V1617" s="4" t="n">
        <v>275.9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279-20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31</v>
      </c>
      <c r="I1618" s="4" t="n">
        <v>20</v>
      </c>
      <c r="J1618" s="4" t="n">
        <v>6</v>
      </c>
      <c r="K1618" s="5" t="n">
        <v>5.2</v>
      </c>
      <c r="L1618" s="4" t="n">
        <v>20</v>
      </c>
      <c r="M1618" s="4" t="n">
        <v>6</v>
      </c>
      <c r="N1618" s="5" t="n">
        <v>5.2</v>
      </c>
      <c r="O1618" s="3" t="inlineStr">
        <is>
          <t>원룸 주방분리 베란다유  깨끗합니다</t>
        </is>
      </c>
      <c r="P1618" s="6">
        <f>HYPERLINK("https://fin.land.naver.com/articles/2652339845", "매물Link")</f>
        <v/>
      </c>
      <c r="Q1618" s="6">
        <f>HYPERLINK("https://map.naver.com/p/search/조치원읍 침산리 279-20", "지도Link")</f>
        <v/>
      </c>
      <c r="R1618" s="6">
        <f>HYPERLINK("http://www.eum.go.kr/web/ar/lu/luLandDet.jsp?pnu=3611025028102790020&amp;isNoScr=script&amp;mode=search",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293.8</v>
      </c>
      <c r="V1618" s="4" t="n">
        <v>275.9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조치원읍 침산리 280-5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98000</v>
      </c>
      <c r="H1619" s="4" t="n">
        <v>0</v>
      </c>
      <c r="I1619" s="4" t="n">
        <v>309</v>
      </c>
      <c r="J1619" s="4" t="n">
        <v>93</v>
      </c>
      <c r="K1619" s="5" t="n">
        <v>1053.8</v>
      </c>
      <c r="L1619" s="4" t="n">
        <v>504</v>
      </c>
      <c r="M1619" s="4" t="n">
        <v>152</v>
      </c>
      <c r="N1619" s="5" t="n">
        <v>644.7</v>
      </c>
      <c r="O1619" s="3" t="inlineStr">
        <is>
          <t>nan</t>
        </is>
      </c>
      <c r="P1619" s="6">
        <f>HYPERLINK("https://fin.land.naver.com/articles/2654388079", "매물Link")</f>
        <v/>
      </c>
      <c r="Q1619" s="6">
        <f>HYPERLINK("https://map.naver.com/p/search/조치원읍 침산리 280-5", "지도Link")</f>
        <v/>
      </c>
      <c r="R1619" s="6">
        <f>HYPERLINK("http://www.eum.go.kr/web/ar/lu/luLandDet.jsp?pnu=3611025028102800005&amp;isNoScr=script&amp;mode=search",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288.8</v>
      </c>
      <c r="V1619" s="4" t="n">
        <v>309.4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세로한면(가)</t>
        </is>
      </c>
    </row>
    <row r="1620">
      <c r="A1620" s="3" t="inlineStr">
        <is>
          <t>조치원읍 침산리 281-3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26</v>
      </c>
      <c r="J1620" s="4" t="n">
        <v>8</v>
      </c>
      <c r="K1620" s="5" t="n">
        <v>3.9</v>
      </c>
      <c r="L1620" s="4" t="n">
        <v>24</v>
      </c>
      <c r="M1620" s="4" t="n">
        <v>7</v>
      </c>
      <c r="N1620" s="5" t="n">
        <v>4.4</v>
      </c>
      <c r="O1620" s="3" t="inlineStr">
        <is>
          <t>깔끔하고 넓은 원룸으로 주변에 생활편의 시설있으며, 대중교통 편합</t>
        </is>
      </c>
      <c r="P1620" s="6">
        <f>HYPERLINK("https://fin.land.naver.com/articles/2655173930", "매물Link")</f>
        <v/>
      </c>
      <c r="Q1620" s="6">
        <f>HYPERLINK("https://map.naver.com/p/search/조치원읍 침산리 281-3", "지도Link")</f>
        <v/>
      </c>
      <c r="R1620" s="6">
        <f>HYPERLINK("http://www.eum.go.kr/web/ar/lu/luLandDet.jsp?pnu=3611025028102810003&amp;isNoScr=script&amp;mode=search",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305.5</v>
      </c>
      <c r="V1620" s="4" t="n">
        <v>323.1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소로각지</t>
        </is>
      </c>
    </row>
    <row r="1621">
      <c r="A1621" s="3" t="inlineStr">
        <is>
          <t>조치원읍 침산리 282-11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1000</v>
      </c>
      <c r="H1621" s="4" t="n">
        <v>45</v>
      </c>
      <c r="I1621" s="4" t="n">
        <v>49</v>
      </c>
      <c r="J1621" s="4" t="n">
        <v>15</v>
      </c>
      <c r="K1621" s="5" t="n">
        <v>3</v>
      </c>
      <c r="L1621" s="4" t="n">
        <v>39</v>
      </c>
      <c r="M1621" s="4" t="n">
        <v>12</v>
      </c>
      <c r="N1621" s="5" t="n">
        <v>3.8</v>
      </c>
      <c r="O1621" s="3" t="inlineStr">
        <is>
          <t>귀한 2룸 11월초 입주가능</t>
        </is>
      </c>
      <c r="P1621" s="6">
        <f>HYPERLINK("https://fin.land.naver.com/articles/2653498155", "매물Link")</f>
        <v/>
      </c>
      <c r="Q1621" s="6">
        <f>HYPERLINK("https://map.naver.com/p/search/조치원읍 침산리 282-11", "지도Link")</f>
        <v/>
      </c>
      <c r="R1621" s="6">
        <f>HYPERLINK("http://www.eum.go.kr/web/ar/lu/luLandDet.jsp?pnu=3611025028102820011&amp;isNoScr=script&amp;mode=search",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288.8</v>
      </c>
      <c r="V1621" s="4" t="n">
        <v>279.5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282-12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30</v>
      </c>
      <c r="I1622" s="4" t="n">
        <v>33</v>
      </c>
      <c r="J1622" s="4" t="n">
        <v>10</v>
      </c>
      <c r="K1622" s="5" t="n">
        <v>3</v>
      </c>
      <c r="L1622" s="4" t="n">
        <v>23</v>
      </c>
      <c r="M1622" s="4" t="n">
        <v>7</v>
      </c>
      <c r="N1622" s="5" t="n">
        <v>4.3</v>
      </c>
      <c r="O1622" s="3" t="inlineStr">
        <is>
          <t>따뜻한집.뷰좋은.조용한주택가</t>
        </is>
      </c>
      <c r="P1622" s="6">
        <f>HYPERLINK("https://fin.land.naver.com/articles/2655741055", "매물Link")</f>
        <v/>
      </c>
      <c r="Q1622" s="6">
        <f>HYPERLINK("https://map.naver.com/p/search/조치원읍 침산리 282-12", "지도Link")</f>
        <v/>
      </c>
      <c r="R1622" s="6">
        <f>HYPERLINK("http://www.eum.go.kr/web/ar/lu/luLandDet.jsp?pnu=3611025028102820012&amp;isNoScr=script&amp;mode=search",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291.3</v>
      </c>
      <c r="V1622" s="4" t="n">
        <v>380.3</v>
      </c>
      <c r="W1622" s="3" t="inlineStr">
        <is>
          <t>지정되지않음</t>
        </is>
      </c>
      <c r="X1622" s="3" t="inlineStr">
        <is>
          <t>주거기타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세로각지(가)</t>
        </is>
      </c>
    </row>
    <row r="1623">
      <c r="A1623" s="3" t="inlineStr">
        <is>
          <t>조치원읍 침산리 282-13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전세</t>
        </is>
      </c>
      <c r="G1623" s="4" t="n">
        <v>5000</v>
      </c>
      <c r="H1623" s="4" t="n">
        <v>0</v>
      </c>
      <c r="I1623" s="4" t="n">
        <v>47</v>
      </c>
      <c r="J1623" s="4" t="n">
        <v>14</v>
      </c>
      <c r="K1623" s="5" t="n">
        <v>357.1</v>
      </c>
      <c r="L1623" s="4" t="n">
        <v>47</v>
      </c>
      <c r="M1623" s="4" t="n">
        <v>14</v>
      </c>
      <c r="N1623" s="5" t="n">
        <v>357.1</v>
      </c>
      <c r="O1623" s="3" t="inlineStr">
        <is>
          <t>깨끗하고 넒은 원룸이며,  주저지역에 위치하여 교통 편리</t>
        </is>
      </c>
      <c r="P1623" s="6">
        <f>HYPERLINK("https://fin.land.naver.com/articles/2651486371", "매물Link")</f>
        <v/>
      </c>
      <c r="Q1623" s="6">
        <f>HYPERLINK("https://map.naver.com/p/search/조치원읍 침산리 282-13", "지도Link")</f>
        <v/>
      </c>
      <c r="R1623" s="6">
        <f>HYPERLINK("http://www.eum.go.kr/web/ar/lu/luLandDet.jsp?pnu=3611025028102820013&amp;isNoScr=script&amp;mode=search",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314.3</v>
      </c>
      <c r="V1623" s="4" t="n">
        <v>252.9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침산리 282-6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26</v>
      </c>
      <c r="M1624" s="4" t="n">
        <v>8</v>
      </c>
      <c r="N1624" s="5" t="n">
        <v>3.9</v>
      </c>
      <c r="O1624" s="3" t="inlineStr">
        <is>
          <t>깨끗하게 내부수리되었으며, 냉장고, 세탁기등 옵션 있음</t>
        </is>
      </c>
      <c r="P1624" s="6">
        <f>HYPERLINK("https://fin.land.naver.com/articles/2655178233", "매물Link")</f>
        <v/>
      </c>
      <c r="Q1624" s="6">
        <f>HYPERLINK("https://map.naver.com/p/search/조치원읍 침산리 282-6", "지도Link")</f>
        <v/>
      </c>
      <c r="R1624" s="6">
        <f>HYPERLINK("http://www.eum.go.kr/web/ar/lu/luLandDet.jsp?pnu=3611025028102820006&amp;isNoScr=script&amp;mode=search",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316.4</v>
      </c>
      <c r="V1624" s="4" t="n">
        <v>353.8</v>
      </c>
      <c r="W1624" s="3" t="inlineStr">
        <is>
          <t>지정되지않음</t>
        </is>
      </c>
      <c r="X1624" s="3" t="inlineStr">
        <is>
          <t>주상용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넓은붙박이장.깔끔한분리형원룸.큰싸이즈</t>
        </is>
      </c>
      <c r="P1625" s="6">
        <f>HYPERLINK("https://fin.land.naver.com/articles/2656099242", "매물Link")</f>
        <v/>
      </c>
      <c r="Q1625" s="6">
        <f>HYPERLINK("https://map.naver.com/p/search/조치원읍 침산리 282-8", "지도Link")</f>
        <v/>
      </c>
      <c r="R1625" s="6">
        <f>HYPERLINK("http://www.eum.go.kr/web/ar/lu/luLandDet.jsp?pnu=3611025028102820008&amp;isNoScr=script&amp;mode=search",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311.1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283-14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80000</v>
      </c>
      <c r="H1626" s="4" t="n">
        <v>0</v>
      </c>
      <c r="I1626" s="4" t="n">
        <v>251</v>
      </c>
      <c r="J1626" s="4" t="n">
        <v>76</v>
      </c>
      <c r="K1626" s="5" t="n">
        <v>1052.6</v>
      </c>
      <c r="L1626" s="4" t="n">
        <v>433</v>
      </c>
      <c r="M1626" s="4" t="n">
        <v>131</v>
      </c>
      <c r="N1626" s="5" t="n">
        <v>610.7</v>
      </c>
      <c r="O1626" s="3" t="inlineStr">
        <is>
          <t>nan</t>
        </is>
      </c>
      <c r="P1626" s="6">
        <f>HYPERLINK("https://fin.land.naver.com/articles/2654385865", "매물Link")</f>
        <v/>
      </c>
      <c r="Q1626" s="6">
        <f>HYPERLINK("https://map.naver.com/p/search/조치원읍 침산리 283-14", "지도Link")</f>
        <v/>
      </c>
      <c r="R1626" s="6">
        <f>HYPERLINK("http://www.eum.go.kr/web/ar/lu/luLandDet.jsp?pnu=3611025028102830014&amp;isNoScr=script&amp;mode=search",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283.1</v>
      </c>
      <c r="V1626" s="4" t="n">
        <v>251.9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세로장방</t>
        </is>
      </c>
      <c r="AA1626" s="3" t="inlineStr">
        <is>
          <t>세로한면(가)</t>
        </is>
      </c>
    </row>
    <row r="1627">
      <c r="A1627" s="3" t="inlineStr">
        <is>
          <t>조치원읍 침산리 283-14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3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80000</v>
      </c>
      <c r="H1627" s="4" t="n">
        <v>0</v>
      </c>
      <c r="I1627" s="4" t="n">
        <v>251</v>
      </c>
      <c r="J1627" s="4" t="n">
        <v>76</v>
      </c>
      <c r="K1627" s="5" t="n">
        <v>1052.6</v>
      </c>
      <c r="L1627" s="4" t="n">
        <v>433</v>
      </c>
      <c r="M1627" s="4" t="n">
        <v>131</v>
      </c>
      <c r="N1627" s="5" t="n">
        <v>610.7</v>
      </c>
      <c r="O1627" s="3" t="inlineStr">
        <is>
          <t>조치원읍 다가구주택 단지의 수익율 8.5% 관리샹태 양호</t>
        </is>
      </c>
      <c r="P1627" s="6">
        <f>HYPERLINK("https://fin.land.naver.com/articles/2655705637", "매물Link")</f>
        <v/>
      </c>
      <c r="Q1627" s="6">
        <f>HYPERLINK("https://map.naver.com/p/search/조치원읍 침산리 283-14", "지도Link")</f>
        <v/>
      </c>
      <c r="R1627" s="6">
        <f>HYPERLINK("http://www.eum.go.kr/web/ar/lu/luLandDet.jsp?pnu=3611025028102830014&amp;isNoScr=script&amp;mode=search",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283.1</v>
      </c>
      <c r="V1627" s="4" t="n">
        <v>251.9</v>
      </c>
      <c r="W1627" s="3" t="inlineStr">
        <is>
          <t>지정되지않음</t>
        </is>
      </c>
      <c r="X1627" s="3" t="inlineStr">
        <is>
          <t>주거기타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세로한면(가)</t>
        </is>
      </c>
    </row>
    <row r="1628">
      <c r="A1628" s="3" t="inlineStr">
        <is>
          <t>조치원읍 침산리 283-16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98000</v>
      </c>
      <c r="H1628" s="4" t="n">
        <v>0</v>
      </c>
      <c r="I1628" s="4" t="n">
        <v>281</v>
      </c>
      <c r="J1628" s="4" t="n">
        <v>85</v>
      </c>
      <c r="K1628" s="5" t="n">
        <v>1152.9</v>
      </c>
      <c r="L1628" s="4" t="n">
        <v>440</v>
      </c>
      <c r="M1628" s="4" t="n">
        <v>133</v>
      </c>
      <c r="N1628" s="5" t="n">
        <v>736.8</v>
      </c>
      <c r="O1628" s="3" t="inlineStr">
        <is>
          <t>nan</t>
        </is>
      </c>
      <c r="P1628" s="6">
        <f>HYPERLINK("https://fin.land.naver.com/articles/2654387392", "매물Link")</f>
        <v/>
      </c>
      <c r="Q1628" s="6">
        <f>HYPERLINK("https://map.naver.com/p/search/조치원읍 침산리 283-16", "지도Link")</f>
        <v/>
      </c>
      <c r="R1628" s="6">
        <f>HYPERLINK("http://www.eum.go.kr/web/ar/lu/luLandDet.jsp?pnu=3611025028102830016&amp;isNoScr=script&amp;mode=search",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283.1</v>
      </c>
      <c r="V1628" s="4" t="n">
        <v>281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세로한면(가)</t>
        </is>
      </c>
    </row>
    <row r="1629">
      <c r="A1629" s="3" t="inlineStr">
        <is>
          <t>조치원읍 침산리 283-16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전세</t>
        </is>
      </c>
      <c r="G1629" s="4" t="n">
        <v>5500</v>
      </c>
      <c r="H1629" s="4" t="n">
        <v>0</v>
      </c>
      <c r="I1629" s="4" t="n">
        <v>30</v>
      </c>
      <c r="J1629" s="4" t="n">
        <v>9</v>
      </c>
      <c r="K1629" s="5" t="n">
        <v>611.1</v>
      </c>
      <c r="L1629" s="4" t="n">
        <v>30</v>
      </c>
      <c r="M1629" s="4" t="n">
        <v>9</v>
      </c>
      <c r="N1629" s="5" t="n">
        <v>611.1</v>
      </c>
      <c r="O1629" s="3" t="inlineStr">
        <is>
          <t>nan</t>
        </is>
      </c>
      <c r="P1629" s="6">
        <f>HYPERLINK("https://fin.land.naver.com/articles/2653997133", "매물Link")</f>
        <v/>
      </c>
      <c r="Q1629" s="6">
        <f>HYPERLINK("https://map.naver.com/p/search/조치원읍 침산리 283-16", "지도Link")</f>
        <v/>
      </c>
      <c r="R1629" s="6">
        <f>HYPERLINK("http://www.eum.go.kr/web/ar/lu/luLandDet.jsp?pnu=3611025028102830016&amp;isNoScr=script&amp;mode=search",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283.1</v>
      </c>
      <c r="V1629" s="4" t="n">
        <v>281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세로한면(가)</t>
        </is>
      </c>
    </row>
    <row r="1630">
      <c r="A1630" s="3" t="inlineStr">
        <is>
          <t>조치원읍 침산리 283-3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도시형생활주택</t>
        </is>
      </c>
      <c r="F1630" s="3" t="inlineStr">
        <is>
          <t>월세</t>
        </is>
      </c>
      <c r="G1630" s="4" t="n">
        <v>200</v>
      </c>
      <c r="H1630" s="4" t="n">
        <v>28</v>
      </c>
      <c r="I1630" s="4" t="n">
        <v>0</v>
      </c>
      <c r="J1630" s="4" t="n">
        <v>0</v>
      </c>
      <c r="K1630" s="5" t="n">
        <v>0</v>
      </c>
      <c r="L1630" s="4" t="n">
        <v>19</v>
      </c>
      <c r="M1630" s="4" t="n">
        <v>6</v>
      </c>
      <c r="N1630" s="5" t="n">
        <v>4.7</v>
      </c>
      <c r="O1630" s="3" t="inlineStr">
        <is>
          <t>오픈형 넓은 풀옵션</t>
        </is>
      </c>
      <c r="P1630" s="6">
        <f>HYPERLINK("https://fin.land.naver.com/articles/2654004942", "매물Link")</f>
        <v/>
      </c>
      <c r="Q1630" s="6">
        <f>HYPERLINK("https://map.naver.com/p/search/조치원읍 침산리 283-3", "지도Link")</f>
        <v/>
      </c>
      <c r="R1630" s="6">
        <f>HYPERLINK("http://www.eum.go.kr/web/ar/lu/luLandDet.jsp?pnu=3611025028102830003&amp;isNoScr=script&amp;mode=search",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272.3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0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28</v>
      </c>
      <c r="I1631" s="4" t="n">
        <v>39</v>
      </c>
      <c r="J1631" s="4" t="n">
        <v>12</v>
      </c>
      <c r="K1631" s="5" t="n">
        <v>2.3</v>
      </c>
      <c r="L1631" s="4" t="n">
        <v>29</v>
      </c>
      <c r="M1631" s="4" t="n">
        <v>9</v>
      </c>
      <c r="N1631" s="5" t="n">
        <v>3.1</v>
      </c>
      <c r="O1631" s="3" t="inlineStr">
        <is>
          <t>넓은방.풀셋팅원룸.몸만들어오세요</t>
        </is>
      </c>
      <c r="P1631" s="6">
        <f>HYPERLINK("https://fin.land.naver.com/articles/2651070230", "매물Link")</f>
        <v/>
      </c>
      <c r="Q1631" s="6">
        <f>HYPERLINK("https://map.naver.com/p/search/조치원읍 침산리 283-4", "지도Link")</f>
        <v/>
      </c>
      <c r="R1631" s="6">
        <f>HYPERLINK("http://www.eum.go.kr/web/ar/lu/luLandDet.jsp?pnu=3611025028102830004&amp;isNoScr=script&amp;mode=search", "토지이음")</f>
        <v/>
      </c>
      <c r="S1631" s="3" t="inlineStr">
        <is>
          <t>척척</t>
        </is>
      </c>
      <c r="T1631" s="4" t="n">
        <v>1</v>
      </c>
      <c r="U1631" s="5" t="n">
        <v>283.1</v>
      </c>
      <c r="V1631" s="4" t="n">
        <v>272.3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284-6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월세</t>
        </is>
      </c>
      <c r="G1632" s="4" t="n">
        <v>200</v>
      </c>
      <c r="H1632" s="4" t="n">
        <v>29</v>
      </c>
      <c r="I1632" s="4" t="n">
        <v>26</v>
      </c>
      <c r="J1632" s="4" t="n">
        <v>8</v>
      </c>
      <c r="K1632" s="5" t="n">
        <v>3.6</v>
      </c>
      <c r="L1632" s="4" t="n">
        <v>26</v>
      </c>
      <c r="M1632" s="4" t="n">
        <v>8</v>
      </c>
      <c r="N1632" s="5" t="n">
        <v>3.6</v>
      </c>
      <c r="O1632" s="3" t="inlineStr">
        <is>
          <t>분리형 원룸이며, 조치원시장, 조치원역 옆에 위치하여 교통 편리</t>
        </is>
      </c>
      <c r="P1632" s="6">
        <f>HYPERLINK("https://fin.land.naver.com/articles/2655176936", "매물Link")</f>
        <v/>
      </c>
      <c r="Q1632" s="6">
        <f>HYPERLINK("https://map.naver.com/p/search/조치원읍 침산리 284-6", "지도Link")</f>
        <v/>
      </c>
      <c r="R1632" s="6">
        <f>HYPERLINK("http://www.eum.go.kr/web/ar/lu/luLandDet.jsp?pnu=3611025028102840006&amp;isNoScr=script&amp;mode=search", "토지이음")</f>
        <v/>
      </c>
      <c r="S1632" s="3" t="inlineStr">
        <is>
          <t>세종베스트</t>
        </is>
      </c>
      <c r="T1632" s="4" t="n">
        <v>1</v>
      </c>
      <c r="U1632" s="5" t="n">
        <v>446.3</v>
      </c>
      <c r="V1632" s="4" t="n">
        <v>333.7</v>
      </c>
      <c r="W1632" s="3" t="inlineStr">
        <is>
          <t>지정되지않음</t>
        </is>
      </c>
      <c r="X1632" s="3" t="inlineStr">
        <is>
          <t>주상기타</t>
        </is>
      </c>
      <c r="Y1632" s="3" t="inlineStr">
        <is>
          <t>평지</t>
        </is>
      </c>
      <c r="Z1632" s="3" t="inlineStr">
        <is>
          <t>정방형</t>
        </is>
      </c>
      <c r="AA1632" s="3" t="inlineStr">
        <is>
          <t>소로각지</t>
        </is>
      </c>
    </row>
    <row r="1633">
      <c r="A1633" s="3" t="inlineStr">
        <is>
          <t>조치원읍 침산리 285-10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28</v>
      </c>
      <c r="I1633" s="4" t="n">
        <v>0</v>
      </c>
      <c r="J1633" s="4" t="n">
        <v>0</v>
      </c>
      <c r="K1633" s="5" t="n">
        <v>0</v>
      </c>
      <c r="L1633" s="4" t="n">
        <v>23</v>
      </c>
      <c r="M1633" s="4" t="n">
        <v>7</v>
      </c>
      <c r="N1633" s="5" t="n">
        <v>4</v>
      </c>
      <c r="O1633" s="3" t="inlineStr">
        <is>
          <t>주방 넓은 분리형 채광 통풍 잘되는 집</t>
        </is>
      </c>
      <c r="P1633" s="6">
        <f>HYPERLINK("https://fin.land.naver.com/articles/2654830780", "매물Link")</f>
        <v/>
      </c>
      <c r="Q1633" s="6">
        <f>HYPERLINK("https://map.naver.com/p/search/조치원읍 침산리 285-10", "지도Link")</f>
        <v/>
      </c>
      <c r="R1633" s="6">
        <f>HYPERLINK("http://www.eum.go.kr/web/ar/lu/luLandDet.jsp?pnu=3611025028102850010&amp;isNoScr=script&amp;mode=search",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307.8</v>
      </c>
      <c r="V1633" s="4" t="n">
        <v>266.9</v>
      </c>
      <c r="W1633" s="3" t="inlineStr">
        <is>
          <t>지정되지않음</t>
        </is>
      </c>
      <c r="X1633" s="3" t="inlineStr">
        <is>
          <t>주상기타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285-10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110000</v>
      </c>
      <c r="H1634" s="4" t="n">
        <v>0</v>
      </c>
      <c r="I1634" s="4" t="n">
        <v>266</v>
      </c>
      <c r="J1634" s="4" t="n">
        <v>80</v>
      </c>
      <c r="K1634" s="5" t="n">
        <v>1375</v>
      </c>
      <c r="L1634" s="4" t="n">
        <v>510</v>
      </c>
      <c r="M1634" s="4" t="n">
        <v>154</v>
      </c>
      <c r="N1634" s="5" t="n">
        <v>714.3</v>
      </c>
      <c r="O1634" s="3" t="inlineStr">
        <is>
          <t>nan</t>
        </is>
      </c>
      <c r="P1634" s="6">
        <f>HYPERLINK("https://fin.land.naver.com/articles/2654386307", "매물Link")</f>
        <v/>
      </c>
      <c r="Q1634" s="6">
        <f>HYPERLINK("https://map.naver.com/p/search/조치원읍 침산리 285-10", "지도Link")</f>
        <v/>
      </c>
      <c r="R1634" s="6">
        <f>HYPERLINK("http://www.eum.go.kr/web/ar/lu/luLandDet.jsp?pnu=3611025028102850010&amp;isNoScr=script&amp;mode=search",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307.8</v>
      </c>
      <c r="V1634" s="4" t="n">
        <v>266.9</v>
      </c>
      <c r="W1634" s="3" t="inlineStr">
        <is>
          <t>지정되지않음</t>
        </is>
      </c>
      <c r="X1634" s="3" t="inlineStr">
        <is>
          <t>주상기타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소로각지</t>
        </is>
      </c>
    </row>
    <row r="1635">
      <c r="A1635" s="3" t="inlineStr">
        <is>
          <t>조치원읍 침산리 285-10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23</v>
      </c>
      <c r="M1635" s="4" t="n">
        <v>7</v>
      </c>
      <c r="N1635" s="5" t="n">
        <v>4</v>
      </c>
      <c r="O1635" s="3" t="inlineStr">
        <is>
          <t>주방 넓은 분리형 채광 통풍 잘되는 집</t>
        </is>
      </c>
      <c r="P1635" s="6">
        <f>HYPERLINK("https://fin.land.naver.com/articles/2654004265", "매물Link")</f>
        <v/>
      </c>
      <c r="Q1635" s="6">
        <f>HYPERLINK("https://map.naver.com/p/search/조치원읍 침산리 285-10", "지도Link")</f>
        <v/>
      </c>
      <c r="R1635" s="6">
        <f>HYPERLINK("http://www.eum.go.kr/web/ar/lu/luLandDet.jsp?pnu=3611025028102850010&amp;isNoScr=script&amp;mode=search",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307.8</v>
      </c>
      <c r="V1635" s="4" t="n">
        <v>266.9</v>
      </c>
      <c r="W1635" s="3" t="inlineStr">
        <is>
          <t>지정되지않음</t>
        </is>
      </c>
      <c r="X1635" s="3" t="inlineStr">
        <is>
          <t>주상기타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285-18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300</v>
      </c>
      <c r="H1636" s="4" t="n">
        <v>40</v>
      </c>
      <c r="I1636" s="4" t="n">
        <v>0</v>
      </c>
      <c r="J1636" s="4" t="n">
        <v>0</v>
      </c>
      <c r="K1636" s="5" t="n">
        <v>0</v>
      </c>
      <c r="L1636" s="4" t="n">
        <v>28</v>
      </c>
      <c r="M1636" s="4" t="n">
        <v>8</v>
      </c>
      <c r="N1636" s="5" t="n">
        <v>5</v>
      </c>
      <c r="O1636" s="3" t="inlineStr">
        <is>
          <t>풀옵,투베이형,즉시입주 가능,하이마트 인근</t>
        </is>
      </c>
      <c r="P1636" s="6">
        <f>HYPERLINK("https://fin.land.naver.com/articles/2655245950", "매물Link")</f>
        <v/>
      </c>
      <c r="Q1636" s="6">
        <f>HYPERLINK("https://map.naver.com/p/search/조치원읍 침산리 285-18", "지도Link")</f>
        <v/>
      </c>
      <c r="R1636" s="6">
        <f>HYPERLINK("http://www.eum.go.kr/web/ar/lu/luLandDet.jsp?pnu=3611025028102850018&amp;isNoScr=script&amp;mode=search", "토지이음")</f>
        <v/>
      </c>
      <c r="S1636" s="3" t="inlineStr">
        <is>
          <t>다옴</t>
        </is>
      </c>
      <c r="T1636" s="4" t="n">
        <v>1</v>
      </c>
      <c r="U1636" s="5" t="n">
        <v>352.7</v>
      </c>
      <c r="V1636" s="4" t="n">
        <v>300.1</v>
      </c>
      <c r="W1636" s="3" t="inlineStr">
        <is>
          <t>지정되지않음</t>
        </is>
      </c>
      <c r="X1636" s="3" t="inlineStr">
        <is>
          <t>상업나지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조치원읍 침산리 285-20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2000</v>
      </c>
      <c r="H1637" s="4" t="n">
        <v>10</v>
      </c>
      <c r="I1637" s="4" t="n">
        <v>39</v>
      </c>
      <c r="J1637" s="4" t="n">
        <v>12</v>
      </c>
      <c r="K1637" s="5" t="n">
        <v>0.8</v>
      </c>
      <c r="L1637" s="4" t="n">
        <v>26</v>
      </c>
      <c r="M1637" s="4" t="n">
        <v>8</v>
      </c>
      <c r="N1637" s="5" t="n">
        <v>1.2</v>
      </c>
      <c r="O1637" s="3" t="inlineStr">
        <is>
          <t>신축주거단지  채광좋은 분리형 원룸</t>
        </is>
      </c>
      <c r="P1637" s="6">
        <f>HYPERLINK("https://fin.land.naver.com/articles/2651595721", "매물Link")</f>
        <v/>
      </c>
      <c r="Q1637" s="6">
        <f>HYPERLINK("https://map.naver.com/p/search/조치원읍 침산리 285-20", "지도Link")</f>
        <v/>
      </c>
      <c r="R1637" s="6">
        <f>HYPERLINK("http://www.eum.go.kr/web/ar/lu/luLandDet.jsp?pnu=3611025028102850020&amp;isNoScr=script&amp;mode=search",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363</v>
      </c>
      <c r="V1637" s="4" t="n">
        <v>335.7</v>
      </c>
      <c r="W1637" s="3" t="inlineStr">
        <is>
          <t>지정되지않음</t>
        </is>
      </c>
      <c r="X1637" s="3" t="inlineStr">
        <is>
          <t>상업나지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소로각지</t>
        </is>
      </c>
    </row>
    <row r="1638">
      <c r="A1638" s="3" t="inlineStr">
        <is>
          <t>조치원읍 침산리 285-5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200</v>
      </c>
      <c r="H1638" s="4" t="n">
        <v>25</v>
      </c>
      <c r="I1638" s="4" t="n">
        <v>20</v>
      </c>
      <c r="J1638" s="4" t="n">
        <v>6</v>
      </c>
      <c r="K1638" s="5" t="n">
        <v>4.2</v>
      </c>
      <c r="L1638" s="4" t="n">
        <v>17</v>
      </c>
      <c r="M1638" s="4" t="n">
        <v>5</v>
      </c>
      <c r="N1638" s="5" t="n">
        <v>5</v>
      </c>
      <c r="O1638" s="3" t="inlineStr">
        <is>
          <t>nan</t>
        </is>
      </c>
      <c r="P1638" s="6">
        <f>HYPERLINK("https://fin.land.naver.com/articles/2655741640", "매물Link")</f>
        <v/>
      </c>
      <c r="Q1638" s="6">
        <f>HYPERLINK("https://map.naver.com/p/search/조치원읍 침산리 285-5", "지도Link")</f>
        <v/>
      </c>
      <c r="R1638" s="6">
        <f>HYPERLINK("http://www.eum.go.kr/web/ar/lu/luLandDet.jsp?pnu=3611025028102850005&amp;isNoScr=script&amp;mode=search", "토지이음")</f>
        <v/>
      </c>
      <c r="S1638" s="3" t="inlineStr">
        <is>
          <t>마이룸</t>
        </is>
      </c>
      <c r="T1638" s="4" t="n">
        <v>1</v>
      </c>
      <c r="U1638" s="5" t="n">
        <v>350.1</v>
      </c>
      <c r="V1638" s="4" t="n">
        <v>265</v>
      </c>
      <c r="W1638" s="3" t="inlineStr">
        <is>
          <t>지정되지않음</t>
        </is>
      </c>
      <c r="X1638" s="3" t="inlineStr">
        <is>
          <t>상업나지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소로한면</t>
        </is>
      </c>
    </row>
    <row r="1639">
      <c r="A1639" s="3" t="inlineStr">
        <is>
          <t>조치원읍 평리 107-1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단독</t>
        </is>
      </c>
      <c r="F1639" s="3" t="inlineStr">
        <is>
          <t>매매</t>
        </is>
      </c>
      <c r="G1639" s="4" t="n">
        <v>24500</v>
      </c>
      <c r="H1639" s="4" t="n">
        <v>0</v>
      </c>
      <c r="I1639" s="4" t="n">
        <v>161</v>
      </c>
      <c r="J1639" s="4" t="n">
        <v>49</v>
      </c>
      <c r="K1639" s="5" t="n">
        <v>500</v>
      </c>
      <c r="L1639" s="4" t="n">
        <v>85</v>
      </c>
      <c r="M1639" s="4" t="n">
        <v>26</v>
      </c>
      <c r="N1639" s="5" t="n">
        <v>942.3</v>
      </c>
      <c r="O1639" s="3" t="inlineStr">
        <is>
          <t>평리 터미널 맞은편 위치좋은 주택가 입니다</t>
        </is>
      </c>
      <c r="P1639" s="6">
        <f>HYPERLINK("https://fin.land.naver.com/articles/2655699846", "매물Link")</f>
        <v/>
      </c>
      <c r="Q1639" s="6">
        <f>HYPERLINK("https://map.naver.com/p/search/조치원읍 평리 107-1", "지도Link")</f>
        <v/>
      </c>
      <c r="R1639" s="6">
        <f>HYPERLINK("http://www.eum.go.kr/web/ar/lu/luLandDet.jsp?pnu=3611025023101070001&amp;isNoScr=script&amp;mode=search", "토지이음")</f>
        <v/>
      </c>
      <c r="S1639" s="3" t="inlineStr">
        <is>
          <t>OK수</t>
        </is>
      </c>
      <c r="T1639" s="4" t="n">
        <v>1</v>
      </c>
      <c r="U1639" s="5" t="n">
        <v>213.1</v>
      </c>
      <c r="V1639" s="4" t="n">
        <v>161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세로한면(가)</t>
        </is>
      </c>
    </row>
    <row r="1640">
      <c r="A1640" s="3" t="inlineStr">
        <is>
          <t>조치원읍 평리 23-5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42000</v>
      </c>
      <c r="H1640" s="4" t="n">
        <v>0</v>
      </c>
      <c r="I1640" s="4" t="n">
        <v>258</v>
      </c>
      <c r="J1640" s="4" t="n">
        <v>78</v>
      </c>
      <c r="K1640" s="5" t="n">
        <v>538.5</v>
      </c>
      <c r="L1640" s="4" t="n">
        <v>169</v>
      </c>
      <c r="M1640" s="4" t="n">
        <v>51</v>
      </c>
      <c r="N1640" s="5" t="n">
        <v>823.5</v>
      </c>
      <c r="O1640" s="3" t="inlineStr">
        <is>
          <t>조치원역,버스터미널 가까워요. 투자 추천. 적극조율.</t>
        </is>
      </c>
      <c r="P1640" s="6">
        <f>HYPERLINK("https://fin.land.naver.com/articles/2655979118", "매물Link")</f>
        <v/>
      </c>
      <c r="Q1640" s="6">
        <f>HYPERLINK("https://map.naver.com/p/search/조치원읍 평리 23-5", "지도Link")</f>
        <v/>
      </c>
      <c r="R1640" s="6">
        <f>HYPERLINK("http://www.eum.go.kr/web/ar/lu/luLandDet.jsp?pnu=3611025023100230005&amp;isNoScr=script&amp;mode=search", "토지이음")</f>
        <v/>
      </c>
      <c r="S1640" s="3" t="inlineStr">
        <is>
          <t>한결플러스</t>
        </is>
      </c>
      <c r="T1640" s="4" t="n">
        <v>1</v>
      </c>
      <c r="U1640" s="5" t="n">
        <v>212.8</v>
      </c>
      <c r="V1640" s="4" t="n">
        <v>258.2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세로한면(가)</t>
        </is>
      </c>
    </row>
    <row r="1641">
      <c r="A1641" s="3" t="inlineStr">
        <is>
          <t>조치원읍 평리 23-8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전세</t>
        </is>
      </c>
      <c r="G1641" s="4" t="n">
        <v>8000</v>
      </c>
      <c r="H1641" s="4" t="n">
        <v>0</v>
      </c>
      <c r="I1641" s="4" t="n">
        <v>50</v>
      </c>
      <c r="J1641" s="4" t="n">
        <v>15</v>
      </c>
      <c r="K1641" s="5" t="n">
        <v>533.3</v>
      </c>
      <c r="L1641" s="4" t="n">
        <v>43</v>
      </c>
      <c r="M1641" s="4" t="n">
        <v>13</v>
      </c>
      <c r="N1641" s="5" t="n">
        <v>615.4</v>
      </c>
      <c r="O1641" s="3" t="inlineStr">
        <is>
          <t>보증보험소독청결완벽한 풀옵 이방pick</t>
        </is>
      </c>
      <c r="P1641" s="6">
        <f>HYPERLINK("https://fin.land.naver.com/articles/2651394456", "매물Link")</f>
        <v/>
      </c>
      <c r="Q1641" s="6">
        <f>HYPERLINK("https://map.naver.com/p/search/조치원읍 평리 23-8", "지도Link")</f>
        <v/>
      </c>
      <c r="R1641" s="6">
        <f>HYPERLINK("http://www.eum.go.kr/web/ar/lu/luLandDet.jsp?pnu=3611025023100230008&amp;isNoScr=script&amp;mode=search", "토지이음")</f>
        <v/>
      </c>
      <c r="S1641" s="3" t="inlineStr">
        <is>
          <t>마이룸</t>
        </is>
      </c>
      <c r="T1641" s="4" t="n">
        <v>1</v>
      </c>
      <c r="U1641" s="5" t="n">
        <v>219.2</v>
      </c>
      <c r="V1641" s="4" t="n">
        <v>115.7</v>
      </c>
      <c r="W1641" s="3" t="inlineStr">
        <is>
          <t>지정되지않음</t>
        </is>
      </c>
      <c r="X1641" s="3" t="inlineStr">
        <is>
          <t>연립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세로각지(가)</t>
        </is>
      </c>
    </row>
    <row r="1642">
      <c r="A1642" s="3" t="inlineStr">
        <is>
          <t>조치원읍 평리 54-2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0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500</v>
      </c>
      <c r="H1642" s="4" t="n">
        <v>55</v>
      </c>
      <c r="I1642" s="4" t="n">
        <v>0</v>
      </c>
      <c r="J1642" s="4" t="n">
        <v>0</v>
      </c>
      <c r="K1642" s="5" t="n">
        <v>0</v>
      </c>
      <c r="L1642" s="4" t="n">
        <v>38</v>
      </c>
      <c r="M1642" s="4" t="n">
        <v>11</v>
      </c>
      <c r="N1642" s="5" t="n">
        <v>5</v>
      </c>
      <c r="O1642" s="3" t="inlineStr">
        <is>
          <t>투룸, 협의 입주</t>
        </is>
      </c>
      <c r="P1642" s="6">
        <f>HYPERLINK("https://fin.land.naver.com/articles/2652579240", "매물Link")</f>
        <v/>
      </c>
      <c r="Q1642" s="6">
        <f>HYPERLINK("https://map.naver.com/p/search/조치원읍 평리 54-2", "지도Link")</f>
        <v/>
      </c>
      <c r="R1642" s="6">
        <f>HYPERLINK("http://www.eum.go.kr/web/ar/lu/luLandDet.jsp?pnu=3611025023100540002&amp;isNoScr=script&amp;mode=search", "토지이음")</f>
        <v/>
      </c>
      <c r="S1642" s="3" t="inlineStr">
        <is>
          <t>골드</t>
        </is>
      </c>
      <c r="T1642" s="4" t="n">
        <v>1</v>
      </c>
      <c r="U1642" s="5" t="n">
        <v>206.6</v>
      </c>
      <c r="V1642" s="4" t="n">
        <v>324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부정형</t>
        </is>
      </c>
      <c r="AA1642" s="3" t="inlineStr">
        <is>
          <t>세로한면(가)</t>
        </is>
      </c>
    </row>
    <row r="1643">
      <c r="A1643" s="3" t="inlineStr">
        <is>
          <t>조치원읍 평리 54-2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단독</t>
        </is>
      </c>
      <c r="F1643" s="3" t="inlineStr">
        <is>
          <t>월세</t>
        </is>
      </c>
      <c r="G1643" s="4" t="n">
        <v>500</v>
      </c>
      <c r="H1643" s="4" t="n">
        <v>55</v>
      </c>
      <c r="I1643" s="4" t="n">
        <v>60</v>
      </c>
      <c r="J1643" s="4" t="n">
        <v>18</v>
      </c>
      <c r="K1643" s="5" t="n">
        <v>3.1</v>
      </c>
      <c r="L1643" s="4" t="n">
        <v>50</v>
      </c>
      <c r="M1643" s="4" t="n">
        <v>15</v>
      </c>
      <c r="N1643" s="5" t="n">
        <v>3.7</v>
      </c>
      <c r="O1643" s="3" t="inlineStr">
        <is>
          <t>조용한주택가.시민회관근처 정수장까페3분거리</t>
        </is>
      </c>
      <c r="P1643" s="6">
        <f>HYPERLINK("https://fin.land.naver.com/articles/2655741291", "매물Link")</f>
        <v/>
      </c>
      <c r="Q1643" s="6">
        <f>HYPERLINK("https://map.naver.com/p/search/조치원읍 평리 54-2", "지도Link")</f>
        <v/>
      </c>
      <c r="R1643" s="6">
        <f>HYPERLINK("http://www.eum.go.kr/web/ar/lu/luLandDet.jsp?pnu=3611025023100540002&amp;isNoScr=script&amp;mode=search",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206.6</v>
      </c>
      <c r="V1643" s="4" t="n">
        <v>324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부정형</t>
        </is>
      </c>
      <c r="AA1643" s="3" t="inlineStr">
        <is>
          <t>세로한면(가)</t>
        </is>
      </c>
    </row>
    <row r="1644">
      <c r="A1644" s="3" t="inlineStr">
        <is>
          <t>조치원읍 평리 56-2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200</v>
      </c>
      <c r="H1644" s="4" t="n">
        <v>30</v>
      </c>
      <c r="I1644" s="4" t="n">
        <v>39</v>
      </c>
      <c r="J1644" s="4" t="n">
        <v>12</v>
      </c>
      <c r="K1644" s="5" t="n">
        <v>2.5</v>
      </c>
      <c r="L1644" s="4" t="n">
        <v>26</v>
      </c>
      <c r="M1644" s="4" t="n">
        <v>8</v>
      </c>
      <c r="N1644" s="5" t="n">
        <v>3.8</v>
      </c>
      <c r="O1644" s="3" t="inlineStr">
        <is>
          <t>조치원터미널근방.엘리베이터있음.공동주차시설완비</t>
        </is>
      </c>
      <c r="P1644" s="6">
        <f>HYPERLINK("https://fin.land.naver.com/articles/2651626263", "매물Link")</f>
        <v/>
      </c>
      <c r="Q1644" s="6">
        <f>HYPERLINK("https://map.naver.com/p/search/조치원읍 평리 56-2", "지도Link")</f>
        <v/>
      </c>
      <c r="R1644" s="6">
        <f>HYPERLINK("http://www.eum.go.kr/web/ar/lu/luLandDet.jsp?pnu=3611025023100560002&amp;isNoScr=script&amp;mode=search",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206.6</v>
      </c>
      <c r="V1644" s="4" t="n">
        <v>575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부정형</t>
        </is>
      </c>
      <c r="AA1644" s="3" t="inlineStr">
        <is>
          <t>세로한면(가)</t>
        </is>
      </c>
    </row>
    <row r="1645">
      <c r="A1645" s="3" t="inlineStr">
        <is>
          <t>조치원읍 평리 73-1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매매</t>
        </is>
      </c>
      <c r="G1645" s="4" t="n">
        <v>19500</v>
      </c>
      <c r="H1645" s="4" t="n">
        <v>0</v>
      </c>
      <c r="I1645" s="4" t="n">
        <v>188</v>
      </c>
      <c r="J1645" s="4" t="n">
        <v>57</v>
      </c>
      <c r="K1645" s="5" t="n">
        <v>342.1</v>
      </c>
      <c r="L1645" s="4" t="n">
        <v>49</v>
      </c>
      <c r="M1645" s="4" t="n">
        <v>15</v>
      </c>
      <c r="N1645" s="5" t="n">
        <v>1300</v>
      </c>
      <c r="O1645" s="3" t="inlineStr">
        <is>
          <t>조치원읍 평리 단독주택 저렴하게 나왔어요.</t>
        </is>
      </c>
      <c r="P1645" s="6">
        <f>HYPERLINK("https://fin.land.naver.com/articles/2655640138", "매물Link")</f>
        <v/>
      </c>
      <c r="Q1645" s="6">
        <f>HYPERLINK("https://map.naver.com/p/search/조치원읍 평리 73-1", "지도Link")</f>
        <v/>
      </c>
      <c r="R1645" s="6">
        <f>HYPERLINK("http://www.eum.go.kr/web/ar/lu/luLandDet.jsp?pnu=3611025023100730001&amp;isNoScr=script&amp;mode=search", "토지이음")</f>
        <v/>
      </c>
      <c r="S1645" s="3" t="inlineStr">
        <is>
          <t>세종대장</t>
        </is>
      </c>
      <c r="T1645" s="4" t="n">
        <v>1</v>
      </c>
      <c r="U1645" s="5" t="n">
        <v>120.4</v>
      </c>
      <c r="V1645" s="4" t="n">
        <v>188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부정형</t>
        </is>
      </c>
      <c r="AA1645" s="3" t="inlineStr">
        <is>
          <t>세로한면(불)</t>
        </is>
      </c>
    </row>
    <row r="1646">
      <c r="A1646" s="3" t="inlineStr">
        <is>
          <t>한솔동 1069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155000</v>
      </c>
      <c r="H1646" s="4" t="n">
        <v>0</v>
      </c>
      <c r="I1646" s="4" t="n">
        <v>324</v>
      </c>
      <c r="J1646" s="4" t="n">
        <v>98</v>
      </c>
      <c r="K1646" s="5" t="n">
        <v>1581.6</v>
      </c>
      <c r="L1646" s="4" t="n">
        <v>249</v>
      </c>
      <c r="M1646" s="4" t="n">
        <v>75</v>
      </c>
      <c r="N1646" s="5" t="n">
        <v>2066.7</v>
      </c>
      <c r="O1646" s="3" t="inlineStr">
        <is>
          <t>전용75.5p, 방6개, 화장실4개, 해외건축가가 설계한 멋진집</t>
        </is>
      </c>
      <c r="P1646" s="6">
        <f>HYPERLINK("https://fin.land.naver.com/articles/2651918512", "매물Link")</f>
        <v/>
      </c>
      <c r="Q1646" s="6">
        <f>HYPERLINK("https://map.naver.com/p/search/한솔동 1069", "지도Link")</f>
        <v/>
      </c>
      <c r="R1646" s="6">
        <f>HYPERLINK("http://www.eum.go.kr/web/ar/lu/luLandDet.jsp?pnu=3611010600110690000&amp;isNoScr=script&amp;mode=search",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373.6</v>
      </c>
      <c r="V1646" s="4" t="n">
        <v>324.7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소로한면</t>
        </is>
      </c>
    </row>
    <row r="1647">
      <c r="A1647" s="3" t="inlineStr">
        <is>
          <t>한솔동 1069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155000</v>
      </c>
      <c r="H1647" s="4" t="n">
        <v>0</v>
      </c>
      <c r="I1647" s="4" t="n">
        <v>324</v>
      </c>
      <c r="J1647" s="4" t="n">
        <v>98</v>
      </c>
      <c r="K1647" s="5" t="n">
        <v>1581.6</v>
      </c>
      <c r="L1647" s="4" t="n">
        <v>249</v>
      </c>
      <c r="M1647" s="4" t="n">
        <v>75</v>
      </c>
      <c r="N1647" s="5" t="n">
        <v>2066.7</v>
      </c>
      <c r="O1647" s="3" t="inlineStr">
        <is>
          <t>한솔동 고급 2층단독주택 위치좋은 조용하고 쾌적한 환경</t>
        </is>
      </c>
      <c r="P1647" s="6">
        <f>HYPERLINK("https://fin.land.naver.com/articles/2651896310", "매물Link")</f>
        <v/>
      </c>
      <c r="Q1647" s="6">
        <f>HYPERLINK("https://map.naver.com/p/search/한솔동 1069", "지도Link")</f>
        <v/>
      </c>
      <c r="R1647" s="6">
        <f>HYPERLINK("http://www.eum.go.kr/web/ar/lu/luLandDet.jsp?pnu=3611010600110690000&amp;isNoScr=script&amp;mode=search", "토지이음")</f>
        <v/>
      </c>
      <c r="S1647" s="3" t="inlineStr">
        <is>
          <t>고운동리치세종</t>
        </is>
      </c>
      <c r="T1647" s="4" t="n">
        <v>1</v>
      </c>
      <c r="U1647" s="5" t="n">
        <v>373.6</v>
      </c>
      <c r="V1647" s="4" t="n">
        <v>324.7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소로한면</t>
        </is>
      </c>
    </row>
    <row r="1648">
      <c r="A1648" s="3" t="inlineStr">
        <is>
          <t>한솔동 1069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2</t>
        </is>
      </c>
      <c r="E1648" s="3" t="inlineStr">
        <is>
          <t>단독</t>
        </is>
      </c>
      <c r="F1648" s="3" t="inlineStr">
        <is>
          <t>매매</t>
        </is>
      </c>
      <c r="G1648" s="4" t="n">
        <v>155000</v>
      </c>
      <c r="H1648" s="4" t="n">
        <v>0</v>
      </c>
      <c r="I1648" s="4" t="n">
        <v>324</v>
      </c>
      <c r="J1648" s="4" t="n">
        <v>98</v>
      </c>
      <c r="K1648" s="5" t="n">
        <v>1581.6</v>
      </c>
      <c r="L1648" s="4" t="n">
        <v>249</v>
      </c>
      <c r="M1648" s="4" t="n">
        <v>75</v>
      </c>
      <c r="N1648" s="5" t="n">
        <v>2066.7</v>
      </c>
      <c r="O1648" s="3" t="inlineStr">
        <is>
          <t>해외건축가가 설계한 멋진집, 한솔동,새롬동상권이용편리,보시면 반할집</t>
        </is>
      </c>
      <c r="P1648" s="6">
        <f>HYPERLINK("https://fin.land.naver.com/articles/2653835626", "매물Link")</f>
        <v/>
      </c>
      <c r="Q1648" s="6">
        <f>HYPERLINK("https://map.naver.com/p/search/한솔동 1069", "지도Link")</f>
        <v/>
      </c>
      <c r="R1648" s="6">
        <f>HYPERLINK("http://www.eum.go.kr/web/ar/lu/luLandDet.jsp?pnu=3611010600110690000&amp;isNoScr=script&amp;mode=search", "토지이음")</f>
        <v/>
      </c>
      <c r="S1648" s="3" t="inlineStr">
        <is>
          <t>세종제일</t>
        </is>
      </c>
      <c r="T1648" s="4" t="n">
        <v>1</v>
      </c>
      <c r="U1648" s="5" t="n">
        <v>373.6</v>
      </c>
      <c r="V1648" s="4" t="n">
        <v>324.7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소로한면</t>
        </is>
      </c>
    </row>
    <row r="1649">
      <c r="A1649" s="3" t="inlineStr">
        <is>
          <t>한솔동 1069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155000</v>
      </c>
      <c r="H1649" s="4" t="n">
        <v>0</v>
      </c>
      <c r="I1649" s="4" t="n">
        <v>324</v>
      </c>
      <c r="J1649" s="4" t="n">
        <v>98</v>
      </c>
      <c r="K1649" s="5" t="n">
        <v>1581.6</v>
      </c>
      <c r="L1649" s="4" t="n">
        <v>249</v>
      </c>
      <c r="M1649" s="4" t="n">
        <v>75</v>
      </c>
      <c r="N1649" s="5" t="n">
        <v>2066.7</v>
      </c>
      <c r="O1649" s="3" t="inlineStr">
        <is>
          <t>방6개, 화장실4개, 근린공원 인근, 고급 단독주택</t>
        </is>
      </c>
      <c r="P1649" s="6">
        <f>HYPERLINK("https://fin.land.naver.com/articles/2652839061", "매물Link")</f>
        <v/>
      </c>
      <c r="Q1649" s="6">
        <f>HYPERLINK("https://map.naver.com/p/search/한솔동 1069", "지도Link")</f>
        <v/>
      </c>
      <c r="R1649" s="6">
        <f>HYPERLINK("http://www.eum.go.kr/web/ar/lu/luLandDet.jsp?pnu=3611010600110690000&amp;isNoScr=script&amp;mode=search", "토지이음")</f>
        <v/>
      </c>
      <c r="S1649" s="3" t="inlineStr">
        <is>
          <t>세종무지개</t>
        </is>
      </c>
      <c r="T1649" s="4" t="n">
        <v>1</v>
      </c>
      <c r="U1649" s="5" t="n">
        <v>373.6</v>
      </c>
      <c r="V1649" s="4" t="n">
        <v>324.7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소로한면</t>
        </is>
      </c>
    </row>
    <row r="1650">
      <c r="A1650" s="3" t="inlineStr">
        <is>
          <t>한솔동 1118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매매</t>
        </is>
      </c>
      <c r="G1650" s="4" t="n">
        <v>127000</v>
      </c>
      <c r="H1650" s="4" t="n">
        <v>0</v>
      </c>
      <c r="I1650" s="4" t="n">
        <v>331</v>
      </c>
      <c r="J1650" s="4" t="n">
        <v>100</v>
      </c>
      <c r="K1650" s="5" t="n">
        <v>1270</v>
      </c>
      <c r="L1650" s="4" t="n">
        <v>164</v>
      </c>
      <c r="M1650" s="4" t="n">
        <v>50</v>
      </c>
      <c r="N1650" s="5" t="n">
        <v>2540</v>
      </c>
      <c r="O1650" s="3" t="inlineStr">
        <is>
          <t>마당연결 공원전유사용 옆시유지 무상이용 2층 테라스 데크 실수요최적</t>
        </is>
      </c>
      <c r="P1650" s="6">
        <f>HYPERLINK("https://fin.land.naver.com/articles/2654871859", "매물Link")</f>
        <v/>
      </c>
      <c r="Q1650" s="6">
        <f>HYPERLINK("https://map.naver.com/p/search/한솔동 1118", "지도Link")</f>
        <v/>
      </c>
      <c r="R1650" s="6">
        <f>HYPERLINK("http://www.eum.go.kr/web/ar/lu/luLandDet.jsp?pnu=3611010600111180000&amp;isNoScr=script&amp;mode=search", "토지이음")</f>
        <v/>
      </c>
      <c r="S1650" s="3" t="inlineStr">
        <is>
          <t>삼성래미안</t>
        </is>
      </c>
      <c r="T1650" s="4" t="n">
        <v>3</v>
      </c>
      <c r="U1650" s="5" t="n">
        <v>373.6</v>
      </c>
      <c r="V1650" s="4" t="n">
        <v>331.3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한솔동 1118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127000</v>
      </c>
      <c r="H1651" s="4" t="n">
        <v>0</v>
      </c>
      <c r="I1651" s="4" t="n">
        <v>331</v>
      </c>
      <c r="J1651" s="4" t="n">
        <v>100</v>
      </c>
      <c r="K1651" s="5" t="n">
        <v>1270</v>
      </c>
      <c r="L1651" s="4" t="n">
        <v>164</v>
      </c>
      <c r="M1651" s="4" t="n">
        <v>50</v>
      </c>
      <c r="N1651" s="5" t="n">
        <v>2540</v>
      </c>
      <c r="O1651" s="3" t="inlineStr">
        <is>
          <t>공원사유지 무상이용가능, 입지 좋은 한솔동 단독주택 매매</t>
        </is>
      </c>
      <c r="P1651" s="6">
        <f>HYPERLINK("https://fin.land.naver.com/articles/2654927790", "매물Link")</f>
        <v/>
      </c>
      <c r="Q1651" s="6">
        <f>HYPERLINK("https://map.naver.com/p/search/한솔동 1118", "지도Link")</f>
        <v/>
      </c>
      <c r="R1651" s="6">
        <f>HYPERLINK("http://www.eum.go.kr/web/ar/lu/luLandDet.jsp?pnu=3611010600111180000&amp;isNoScr=script&amp;mode=search", "토지이음")</f>
        <v/>
      </c>
      <c r="S1651" s="3" t="inlineStr">
        <is>
          <t>명진</t>
        </is>
      </c>
      <c r="T1651" s="4" t="n">
        <v>1</v>
      </c>
      <c r="U1651" s="5" t="n">
        <v>373.6</v>
      </c>
      <c r="V1651" s="4" t="n">
        <v>331.3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한솔동 1118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127000</v>
      </c>
      <c r="H1652" s="4" t="n">
        <v>0</v>
      </c>
      <c r="I1652" s="4" t="n">
        <v>331</v>
      </c>
      <c r="J1652" s="4" t="n">
        <v>100</v>
      </c>
      <c r="K1652" s="5" t="n">
        <v>1270</v>
      </c>
      <c r="L1652" s="4" t="n">
        <v>164</v>
      </c>
      <c r="M1652" s="4" t="n">
        <v>50</v>
      </c>
      <c r="N1652" s="5" t="n">
        <v>2540</v>
      </c>
      <c r="O1652" s="3" t="inlineStr">
        <is>
          <t>공원을 접한 단독주택, 여유로움을 누려보세요</t>
        </is>
      </c>
      <c r="P1652" s="6">
        <f>HYPERLINK("https://fin.land.naver.com/articles/2652853639", "매물Link")</f>
        <v/>
      </c>
      <c r="Q1652" s="6">
        <f>HYPERLINK("https://map.naver.com/p/search/한솔동 1118", "지도Link")</f>
        <v/>
      </c>
      <c r="R1652" s="6">
        <f>HYPERLINK("http://www.eum.go.kr/web/ar/lu/luLandDet.jsp?pnu=3611010600111180000&amp;isNoScr=script&amp;mode=search", "토지이음")</f>
        <v/>
      </c>
      <c r="S1652" s="3" t="inlineStr">
        <is>
          <t>최무연</t>
        </is>
      </c>
      <c r="T1652" s="4" t="n">
        <v>2</v>
      </c>
      <c r="U1652" s="5" t="n">
        <v>373.6</v>
      </c>
      <c r="V1652" s="4" t="n">
        <v>331.3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한솔동 1118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127000</v>
      </c>
      <c r="H1653" s="4" t="n">
        <v>0</v>
      </c>
      <c r="I1653" s="4" t="n">
        <v>331</v>
      </c>
      <c r="J1653" s="4" t="n">
        <v>100</v>
      </c>
      <c r="K1653" s="5" t="n">
        <v>1270</v>
      </c>
      <c r="L1653" s="4" t="n">
        <v>164</v>
      </c>
      <c r="M1653" s="4" t="n">
        <v>50</v>
      </c>
      <c r="N1653" s="5" t="n">
        <v>2540</v>
      </c>
      <c r="O1653" s="3" t="inlineStr">
        <is>
          <t>세종시 상권이용편리한 단독주택  앞뒤뻥</t>
        </is>
      </c>
      <c r="P1653" s="6">
        <f>HYPERLINK("https://fin.land.naver.com/articles/2651811636", "매물Link")</f>
        <v/>
      </c>
      <c r="Q1653" s="6">
        <f>HYPERLINK("https://map.naver.com/p/search/한솔동 1118", "지도Link")</f>
        <v/>
      </c>
      <c r="R1653" s="6">
        <f>HYPERLINK("http://www.eum.go.kr/web/ar/lu/luLandDet.jsp?pnu=3611010600111180000&amp;isNoScr=script&amp;mode=search", "토지이음")</f>
        <v/>
      </c>
      <c r="S1653" s="3" t="inlineStr">
        <is>
          <t>세종믿음</t>
        </is>
      </c>
      <c r="T1653" s="4" t="n">
        <v>1</v>
      </c>
      <c r="U1653" s="5" t="n">
        <v>373.6</v>
      </c>
      <c r="V1653" s="4" t="n">
        <v>331.3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소로한면</t>
        </is>
      </c>
    </row>
    <row r="1654">
      <c r="A1654" s="3" t="inlineStr">
        <is>
          <t>한솔동 1118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127000</v>
      </c>
      <c r="H1654" s="4" t="n">
        <v>0</v>
      </c>
      <c r="I1654" s="4" t="n">
        <v>331</v>
      </c>
      <c r="J1654" s="4" t="n">
        <v>100</v>
      </c>
      <c r="K1654" s="5" t="n">
        <v>1270</v>
      </c>
      <c r="L1654" s="4" t="n">
        <v>164</v>
      </c>
      <c r="M1654" s="4" t="n">
        <v>50</v>
      </c>
      <c r="N1654" s="5" t="n">
        <v>2540</v>
      </c>
      <c r="O1654" s="3" t="inlineStr">
        <is>
          <t>전용49.8p, 방3개 화장실2개, 사유지땅 사용가능</t>
        </is>
      </c>
      <c r="P1654" s="6">
        <f>HYPERLINK("https://fin.land.naver.com/articles/2654718314", "매물Link")</f>
        <v/>
      </c>
      <c r="Q1654" s="6">
        <f>HYPERLINK("https://map.naver.com/p/search/한솔동 1118", "지도Link")</f>
        <v/>
      </c>
      <c r="R1654" s="6">
        <f>HYPERLINK("http://www.eum.go.kr/web/ar/lu/luLandDet.jsp?pnu=3611010600111180000&amp;isNoScr=script&amp;mode=search", "토지이음")</f>
        <v/>
      </c>
      <c r="S1654" s="3" t="inlineStr">
        <is>
          <t>세종무지개</t>
        </is>
      </c>
      <c r="T1654" s="4" t="n">
        <v>1</v>
      </c>
      <c r="U1654" s="5" t="n">
        <v>373.6</v>
      </c>
      <c r="V1654" s="4" t="n">
        <v>331.3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정방형</t>
        </is>
      </c>
      <c r="AA1654" s="3" t="inlineStr">
        <is>
          <t>소로한면</t>
        </is>
      </c>
    </row>
    <row r="1655">
      <c r="A1655" s="3" t="inlineStr">
        <is>
          <t>한솔동 1156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135000</v>
      </c>
      <c r="H1655" s="4" t="n">
        <v>0</v>
      </c>
      <c r="I1655" s="4" t="n">
        <v>295</v>
      </c>
      <c r="J1655" s="4" t="n">
        <v>89</v>
      </c>
      <c r="K1655" s="5" t="n">
        <v>1516.9</v>
      </c>
      <c r="L1655" s="4" t="n">
        <v>181</v>
      </c>
      <c r="M1655" s="4" t="n">
        <v>55</v>
      </c>
      <c r="N1655" s="5" t="n">
        <v>2454.5</v>
      </c>
      <c r="O1655" s="3" t="inlineStr">
        <is>
          <t>급매 설계시공  대단한 건축가작품 입주 유용하게 구조 잘 지었어요</t>
        </is>
      </c>
      <c r="P1655" s="6">
        <f>HYPERLINK("https://fin.land.naver.com/articles/2652797647", "매물Link")</f>
        <v/>
      </c>
      <c r="Q1655" s="6">
        <f>HYPERLINK("https://map.naver.com/p/search/한솔동 1156", "지도Link")</f>
        <v/>
      </c>
      <c r="R1655" s="6">
        <f>HYPERLINK("http://www.eum.go.kr/web/ar/lu/luLandDet.jsp?pnu=3611010600111560000&amp;isNoScr=script&amp;mode=search", "토지이음")</f>
        <v/>
      </c>
      <c r="S1655" s="3" t="inlineStr">
        <is>
          <t>삼성래미안</t>
        </is>
      </c>
      <c r="T1655" s="4" t="n">
        <v>3</v>
      </c>
      <c r="U1655" s="5" t="n">
        <v>391.7</v>
      </c>
      <c r="V1655" s="4" t="n">
        <v>303.1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소로각지</t>
        </is>
      </c>
    </row>
    <row r="1656">
      <c r="A1656" s="3" t="inlineStr">
        <is>
          <t>한솔동 1156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135000</v>
      </c>
      <c r="H1656" s="4" t="n">
        <v>0</v>
      </c>
      <c r="I1656" s="4" t="n">
        <v>295</v>
      </c>
      <c r="J1656" s="4" t="n">
        <v>89</v>
      </c>
      <c r="K1656" s="5" t="n">
        <v>1516.9</v>
      </c>
      <c r="L1656" s="4" t="n">
        <v>181</v>
      </c>
      <c r="M1656" s="4" t="n">
        <v>55</v>
      </c>
      <c r="N1656" s="5" t="n">
        <v>2454.5</v>
      </c>
      <c r="O1656" s="3" t="inlineStr">
        <is>
          <t>유명건축가 멋지게 지은 집. 방4. 화장실3. 위치 최고</t>
        </is>
      </c>
      <c r="P1656" s="6">
        <f>HYPERLINK("https://fin.land.naver.com/articles/2652331501", "매물Link")</f>
        <v/>
      </c>
      <c r="Q1656" s="6">
        <f>HYPERLINK("https://map.naver.com/p/search/한솔동 1156", "지도Link")</f>
        <v/>
      </c>
      <c r="R1656" s="6">
        <f>HYPERLINK("http://www.eum.go.kr/web/ar/lu/luLandDet.jsp?pnu=3611010600111560000&amp;isNoScr=script&amp;mode=search", "토지이음")</f>
        <v/>
      </c>
      <c r="S1656" s="3" t="inlineStr">
        <is>
          <t>세종금밭</t>
        </is>
      </c>
      <c r="T1656" s="4" t="n">
        <v>1</v>
      </c>
      <c r="U1656" s="5" t="n">
        <v>391.7</v>
      </c>
      <c r="V1656" s="4" t="n">
        <v>303.1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소로각지</t>
        </is>
      </c>
    </row>
    <row r="1657">
      <c r="A1657" s="3" t="inlineStr">
        <is>
          <t>한솔동 1219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매매</t>
        </is>
      </c>
      <c r="G1657" s="4" t="n">
        <v>85000</v>
      </c>
      <c r="H1657" s="4" t="n">
        <v>0</v>
      </c>
      <c r="I1657" s="4" t="n">
        <v>394</v>
      </c>
      <c r="J1657" s="4" t="n">
        <v>119</v>
      </c>
      <c r="K1657" s="5" t="n">
        <v>714.3</v>
      </c>
      <c r="L1657" s="4" t="n">
        <v>99</v>
      </c>
      <c r="M1657" s="4" t="n">
        <v>30</v>
      </c>
      <c r="N1657" s="5" t="n">
        <v>2833.3</v>
      </c>
      <c r="O1657" s="3" t="inlineStr">
        <is>
          <t>급매 추가조율협의가능 단층 철근콘크리트 가성비 주택</t>
        </is>
      </c>
      <c r="P1657" s="6">
        <f>HYPERLINK("https://fin.land.naver.com/articles/2655182662", "매물Link")</f>
        <v/>
      </c>
      <c r="Q1657" s="6">
        <f>HYPERLINK("https://map.naver.com/p/search/한솔동 1219", "지도Link")</f>
        <v/>
      </c>
      <c r="R1657" s="6">
        <f>HYPERLINK("http://www.eum.go.kr/web/ar/lu/luLandDet.jsp?pnu=3611010600112190000&amp;isNoScr=script&amp;mode=search", "토지이음")</f>
        <v/>
      </c>
      <c r="S1657" s="3" t="inlineStr">
        <is>
          <t>세종스타</t>
        </is>
      </c>
      <c r="T1657" s="4" t="n">
        <v>1</v>
      </c>
      <c r="U1657" s="5" t="n">
        <v>373.6</v>
      </c>
      <c r="V1657" s="4" t="n">
        <v>394.7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867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95000</v>
      </c>
      <c r="H1658" s="4" t="n">
        <v>0</v>
      </c>
      <c r="I1658" s="4" t="n">
        <v>293</v>
      </c>
      <c r="J1658" s="4" t="n">
        <v>89</v>
      </c>
      <c r="K1658" s="5" t="n">
        <v>1067.4</v>
      </c>
      <c r="L1658" s="4" t="n">
        <v>182</v>
      </c>
      <c r="M1658" s="4" t="n">
        <v>55</v>
      </c>
      <c r="N1658" s="5" t="n">
        <v>1727.3</v>
      </c>
      <c r="O1658" s="3" t="inlineStr">
        <is>
          <t>막힘없이 좋아요 좋은 위치 brt 가까운 위치 입니다 방3, 화장실 2</t>
        </is>
      </c>
      <c r="P1658" s="6">
        <f>HYPERLINK("https://fin.land.naver.com/articles/2651491871", "매물Link")</f>
        <v/>
      </c>
      <c r="Q1658" s="6">
        <f>HYPERLINK("https://map.naver.com/p/search/한솔동 867", "지도Link")</f>
        <v/>
      </c>
      <c r="R1658" s="6">
        <f>HYPERLINK("http://www.eum.go.kr/web/ar/lu/luLandDet.jsp?pnu=3611010600108670000&amp;isNoScr=script&amp;mode=search", "토지이음")</f>
        <v/>
      </c>
      <c r="S1658" s="3" t="inlineStr">
        <is>
          <t>은성</t>
        </is>
      </c>
      <c r="T1658" s="4" t="n">
        <v>1</v>
      </c>
      <c r="U1658" s="5" t="n">
        <v>427.1</v>
      </c>
      <c r="V1658" s="4" t="n">
        <v>293.3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가로장방</t>
        </is>
      </c>
      <c r="AA1658" s="3" t="inlineStr">
        <is>
          <t>소로각지</t>
        </is>
      </c>
    </row>
    <row r="1659">
      <c r="A1659" s="3" t="inlineStr">
        <is>
          <t>한솔동 899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단독</t>
        </is>
      </c>
      <c r="F1659" s="3" t="inlineStr">
        <is>
          <t>매매</t>
        </is>
      </c>
      <c r="G1659" s="4" t="n">
        <v>120000</v>
      </c>
      <c r="H1659" s="4" t="n">
        <v>0</v>
      </c>
      <c r="I1659" s="4" t="n">
        <v>269</v>
      </c>
      <c r="J1659" s="4" t="n">
        <v>81</v>
      </c>
      <c r="K1659" s="5" t="n">
        <v>1481.5</v>
      </c>
      <c r="L1659" s="4" t="n">
        <v>201</v>
      </c>
      <c r="M1659" s="4" t="n">
        <v>61</v>
      </c>
      <c r="N1659" s="5" t="n">
        <v>1967.2</v>
      </c>
      <c r="O1659" s="3" t="inlineStr">
        <is>
          <t>태양광, 풀에어컨, 주차2대, 한솔동 입지 좋은 주택 매매</t>
        </is>
      </c>
      <c r="P1659" s="6">
        <f>HYPERLINK("https://fin.land.naver.com/articles/2656273734", "매물Link")</f>
        <v/>
      </c>
      <c r="Q1659" s="6">
        <f>HYPERLINK("https://map.naver.com/p/search/한솔동 899", "지도Link")</f>
        <v/>
      </c>
      <c r="R1659" s="6">
        <f>HYPERLINK("http://www.eum.go.kr/web/ar/lu/luLandDet.jsp?pnu=3611010600108990000&amp;isNoScr=script&amp;mode=search", "토지이음")</f>
        <v/>
      </c>
      <c r="S1659" s="3" t="inlineStr">
        <is>
          <t>세종무지개</t>
        </is>
      </c>
      <c r="T1659" s="4" t="n">
        <v>1</v>
      </c>
      <c r="U1659" s="5" t="n">
        <v>418.8</v>
      </c>
      <c r="V1659" s="4" t="n">
        <v>269.1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소로각지</t>
        </is>
      </c>
    </row>
    <row r="1660">
      <c r="A1660" s="3" t="inlineStr">
        <is>
          <t>한솔동 899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3</t>
        </is>
      </c>
      <c r="E1660" s="3" t="inlineStr">
        <is>
          <t>단독</t>
        </is>
      </c>
      <c r="F1660" s="3" t="inlineStr">
        <is>
          <t>매매</t>
        </is>
      </c>
      <c r="G1660" s="4" t="n">
        <v>120000</v>
      </c>
      <c r="H1660" s="4" t="n">
        <v>0</v>
      </c>
      <c r="I1660" s="4" t="n">
        <v>269</v>
      </c>
      <c r="J1660" s="4" t="n">
        <v>81</v>
      </c>
      <c r="K1660" s="5" t="n">
        <v>1481.5</v>
      </c>
      <c r="L1660" s="4" t="n">
        <v>201</v>
      </c>
      <c r="M1660" s="4" t="n">
        <v>61</v>
      </c>
      <c r="N1660" s="5" t="n">
        <v>1967.2</v>
      </c>
      <c r="O1660" s="3" t="inlineStr">
        <is>
          <t>입지 좋고 공간활용도가 높은 한솔동 단독주택 매매</t>
        </is>
      </c>
      <c r="P1660" s="6">
        <f>HYPERLINK("https://fin.land.naver.com/articles/2651191540", "매물Link")</f>
        <v/>
      </c>
      <c r="Q1660" s="6">
        <f>HYPERLINK("https://map.naver.com/p/search/한솔동 899", "지도Link")</f>
        <v/>
      </c>
      <c r="R1660" s="6">
        <f>HYPERLINK("http://www.eum.go.kr/web/ar/lu/luLandDet.jsp?pnu=3611010600108990000&amp;isNoScr=script&amp;mode=search", "토지이음")</f>
        <v/>
      </c>
      <c r="S1660" s="3" t="inlineStr">
        <is>
          <t>명진</t>
        </is>
      </c>
      <c r="T1660" s="4" t="n">
        <v>1</v>
      </c>
      <c r="U1660" s="5" t="n">
        <v>418.8</v>
      </c>
      <c r="V1660" s="4" t="n">
        <v>269.1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소로각지</t>
        </is>
      </c>
    </row>
    <row r="1661">
      <c r="A1661" s="3" t="inlineStr">
        <is>
          <t>한솔동 903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115000</v>
      </c>
      <c r="H1661" s="4" t="n">
        <v>0</v>
      </c>
      <c r="I1661" s="4" t="n">
        <v>256</v>
      </c>
      <c r="J1661" s="4" t="n">
        <v>77</v>
      </c>
      <c r="K1661" s="5" t="n">
        <v>1493.5</v>
      </c>
      <c r="L1661" s="4" t="n">
        <v>183</v>
      </c>
      <c r="M1661" s="4" t="n">
        <v>55</v>
      </c>
      <c r="N1661" s="5" t="n">
        <v>2090.9</v>
      </c>
      <c r="O1661" s="3" t="inlineStr">
        <is>
          <t>신축 단독주택, 학원가 도보 가능, 태양광</t>
        </is>
      </c>
      <c r="P1661" s="6">
        <f>HYPERLINK("https://fin.land.naver.com/articles/2653580243", "매물Link")</f>
        <v/>
      </c>
      <c r="Q1661" s="6">
        <f>HYPERLINK("https://map.naver.com/p/search/한솔동 903", "지도Link")</f>
        <v/>
      </c>
      <c r="R1661" s="6">
        <f>HYPERLINK("http://www.eum.go.kr/web/ar/lu/luLandDet.jsp?pnu=3611010600109030000&amp;isNoScr=script&amp;mode=search", "토지이음")</f>
        <v/>
      </c>
      <c r="S1661" s="3" t="inlineStr">
        <is>
          <t>세종무지개</t>
        </is>
      </c>
      <c r="T1661" s="4" t="n">
        <v>1</v>
      </c>
      <c r="U1661" s="5" t="n">
        <v>427.1</v>
      </c>
      <c r="V1661" s="4" t="n">
        <v>256.8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가로장방</t>
        </is>
      </c>
      <c r="AA1661" s="3" t="inlineStr">
        <is>
          <t>소로각지</t>
        </is>
      </c>
    </row>
    <row r="1662">
      <c r="A1662" s="3" t="inlineStr">
        <is>
          <t>한솔동 903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115000</v>
      </c>
      <c r="H1662" s="4" t="n">
        <v>0</v>
      </c>
      <c r="I1662" s="4" t="n">
        <v>256</v>
      </c>
      <c r="J1662" s="4" t="n">
        <v>77</v>
      </c>
      <c r="K1662" s="5" t="n">
        <v>1493.5</v>
      </c>
      <c r="L1662" s="4" t="n">
        <v>183</v>
      </c>
      <c r="M1662" s="4" t="n">
        <v>55</v>
      </c>
      <c r="N1662" s="5" t="n">
        <v>2090.9</v>
      </c>
      <c r="O1662" s="3" t="inlineStr">
        <is>
          <t>한솔동 최선호 D1구역 단독주택 새롬동학원가도보7분 BRT역도보12분</t>
        </is>
      </c>
      <c r="P1662" s="6">
        <f>HYPERLINK("https://fin.land.naver.com/articles/2655176679", "매물Link")</f>
        <v/>
      </c>
      <c r="Q1662" s="6">
        <f>HYPERLINK("https://map.naver.com/p/search/한솔동 903", "지도Link")</f>
        <v/>
      </c>
      <c r="R1662" s="6">
        <f>HYPERLINK("http://www.eum.go.kr/web/ar/lu/luLandDet.jsp?pnu=3611010600109030000&amp;isNoScr=script&amp;mode=search", "토지이음")</f>
        <v/>
      </c>
      <c r="S1662" s="3" t="inlineStr">
        <is>
          <t>세종스타</t>
        </is>
      </c>
      <c r="T1662" s="4" t="n">
        <v>2</v>
      </c>
      <c r="U1662" s="5" t="n">
        <v>427.1</v>
      </c>
      <c r="V1662" s="4" t="n">
        <v>256.8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가로장방</t>
        </is>
      </c>
      <c r="AA1662" s="3" t="inlineStr">
        <is>
          <t>소로각지</t>
        </is>
      </c>
    </row>
    <row r="1663">
      <c r="A1663" s="3" t="inlineStr">
        <is>
          <t>한솔동 903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115000</v>
      </c>
      <c r="H1663" s="4" t="n">
        <v>0</v>
      </c>
      <c r="I1663" s="4" t="n">
        <v>256</v>
      </c>
      <c r="J1663" s="4" t="n">
        <v>77</v>
      </c>
      <c r="K1663" s="5" t="n">
        <v>1493.5</v>
      </c>
      <c r="L1663" s="4" t="n">
        <v>183</v>
      </c>
      <c r="M1663" s="4" t="n">
        <v>55</v>
      </c>
      <c r="N1663" s="5" t="n">
        <v>2090.9</v>
      </c>
      <c r="O1663" s="3" t="inlineStr">
        <is>
          <t>전용55.6p, 층고 높은 신축 단독주택, 태양광, 주차2대</t>
        </is>
      </c>
      <c r="P1663" s="6">
        <f>HYPERLINK("https://fin.land.naver.com/articles/2654919666", "매물Link")</f>
        <v/>
      </c>
      <c r="Q1663" s="6">
        <f>HYPERLINK("https://map.naver.com/p/search/한솔동 903", "지도Link")</f>
        <v/>
      </c>
      <c r="R1663" s="6">
        <f>HYPERLINK("http://www.eum.go.kr/web/ar/lu/luLandDet.jsp?pnu=3611010600109030000&amp;isNoScr=script&amp;mode=search", "토지이음")</f>
        <v/>
      </c>
      <c r="S1663" s="3" t="inlineStr">
        <is>
          <t>명진</t>
        </is>
      </c>
      <c r="T1663" s="4" t="n">
        <v>1</v>
      </c>
      <c r="U1663" s="5" t="n">
        <v>427.1</v>
      </c>
      <c r="V1663" s="4" t="n">
        <v>256.8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가로장방</t>
        </is>
      </c>
      <c r="AA1663" s="3" t="inlineStr">
        <is>
          <t>소로각지</t>
        </is>
      </c>
    </row>
    <row r="1664">
      <c r="A1664" s="3" t="inlineStr">
        <is>
          <t>한솔동 996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단독</t>
        </is>
      </c>
      <c r="F1664" s="3" t="inlineStr">
        <is>
          <t>매매</t>
        </is>
      </c>
      <c r="G1664" s="4" t="n">
        <v>120000</v>
      </c>
      <c r="H1664" s="4" t="n">
        <v>0</v>
      </c>
      <c r="I1664" s="4" t="n">
        <v>396</v>
      </c>
      <c r="J1664" s="4" t="n">
        <v>120</v>
      </c>
      <c r="K1664" s="5" t="n">
        <v>1000</v>
      </c>
      <c r="L1664" s="4" t="n">
        <v>154</v>
      </c>
      <c r="M1664" s="4" t="n">
        <v>47</v>
      </c>
      <c r="N1664" s="5" t="n">
        <v>2553.2</v>
      </c>
      <c r="O1664" s="3" t="inlineStr">
        <is>
          <t>nan</t>
        </is>
      </c>
      <c r="P1664" s="6">
        <f>HYPERLINK("https://fin.land.naver.com/articles/2652015648", "매물Link")</f>
        <v/>
      </c>
      <c r="Q1664" s="6">
        <f>HYPERLINK("https://map.naver.com/p/search/한솔동 996", "지도Link")</f>
        <v/>
      </c>
      <c r="R1664" s="6">
        <f>HYPERLINK("http://www.eum.go.kr/web/ar/lu/luLandDet.jsp?pnu=3611010600109960000&amp;isNoScr=script&amp;mode=search", "토지이음")</f>
        <v/>
      </c>
      <c r="S1664" s="3" t="inlineStr">
        <is>
          <t>그래그</t>
        </is>
      </c>
      <c r="T1664" s="4" t="n">
        <v>1</v>
      </c>
      <c r="U1664" s="5" t="n">
        <v>296.8</v>
      </c>
      <c r="V1664" s="4" t="n">
        <v>396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소로한면</t>
        </is>
      </c>
    </row>
    <row r="1665">
      <c r="A1665" s="3" t="inlineStr">
        <is>
          <t>한솔동 997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130000</v>
      </c>
      <c r="H1665" s="4" t="n">
        <v>0</v>
      </c>
      <c r="I1665" s="4" t="n">
        <v>393</v>
      </c>
      <c r="J1665" s="4" t="n">
        <v>119</v>
      </c>
      <c r="K1665" s="5" t="n">
        <v>1092.4</v>
      </c>
      <c r="L1665" s="4" t="n">
        <v>196</v>
      </c>
      <c r="M1665" s="4" t="n">
        <v>59</v>
      </c>
      <c r="N1665" s="5" t="n">
        <v>2203.4</v>
      </c>
      <c r="O1665" s="3" t="inlineStr">
        <is>
          <t>급매 1년차 최신축 현대식 세련된 내부인테리어 방3개 욕실3개</t>
        </is>
      </c>
      <c r="P1665" s="6">
        <f>HYPERLINK("https://fin.land.naver.com/articles/2652943099", "매물Link")</f>
        <v/>
      </c>
      <c r="Q1665" s="6">
        <f>HYPERLINK("https://map.naver.com/p/search/한솔동 997", "지도Link")</f>
        <v/>
      </c>
      <c r="R1665" s="6">
        <f>HYPERLINK("http://www.eum.go.kr/web/ar/lu/luLandDet.jsp?pnu=3611010600109970000&amp;isNoScr=script&amp;mode=search", "토지이음")</f>
        <v/>
      </c>
      <c r="S1665" s="3" t="inlineStr">
        <is>
          <t>세종스타</t>
        </is>
      </c>
      <c r="T1665" s="4" t="n">
        <v>1</v>
      </c>
      <c r="U1665" s="5" t="n">
        <v>302.8</v>
      </c>
      <c r="V1665" s="4" t="n">
        <v>393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정방형</t>
        </is>
      </c>
      <c r="AA1665" s="3" t="inlineStr">
        <is>
          <t>소로한면</t>
        </is>
      </c>
    </row>
    <row r="1666">
      <c r="A1666" s="3" t="inlineStr">
        <is>
          <t>해밀동 674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월세</t>
        </is>
      </c>
      <c r="G1666" s="4" t="n">
        <v>50000</v>
      </c>
      <c r="H1666" s="4" t="n">
        <v>120</v>
      </c>
      <c r="I1666" s="4" t="n">
        <v>0</v>
      </c>
      <c r="J1666" s="4" t="n">
        <v>0</v>
      </c>
      <c r="K1666" s="5" t="n">
        <v>0</v>
      </c>
      <c r="L1666" s="4" t="n">
        <v>200</v>
      </c>
      <c r="M1666" s="4" t="n">
        <v>60</v>
      </c>
      <c r="N1666" s="5" t="n">
        <v>2</v>
      </c>
      <c r="O1666" s="3" t="inlineStr">
        <is>
          <t>단독타운하우스 1.2층과 다락</t>
        </is>
      </c>
      <c r="P1666" s="6">
        <f>HYPERLINK("https://fin.land.naver.com/articles/2655314009", "매물Link")</f>
        <v/>
      </c>
      <c r="Q1666" s="6">
        <f>HYPERLINK("https://map.naver.com/p/search/해밀동 674", "지도Link")</f>
        <v/>
      </c>
      <c r="R1666" s="6">
        <f>HYPERLINK("http://www.eum.go.kr/web/ar/lu/luLandDet.jsp?pnu=3611011600106740000&amp;isNoScr=script&amp;mode=search", "토지이음")</f>
        <v/>
      </c>
      <c r="S1666" s="3" t="inlineStr">
        <is>
          <t>킹세종</t>
        </is>
      </c>
      <c r="T1666" s="4" t="n">
        <v>1</v>
      </c>
      <c r="U1666" s="5" t="n">
        <v>243.4</v>
      </c>
      <c r="V1666" s="4" t="n">
        <v>9076.4</v>
      </c>
      <c r="W1666" s="3" t="inlineStr">
        <is>
          <t>지정되지않음</t>
        </is>
      </c>
      <c r="X1666" s="3" t="inlineStr">
        <is>
          <t>주거나지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중로각지</t>
        </is>
      </c>
    </row>
    <row r="1667">
      <c r="A1667" s="3" t="inlineStr">
        <is>
          <t>해밀동 674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월세</t>
        </is>
      </c>
      <c r="G1667" s="4" t="n">
        <v>50000</v>
      </c>
      <c r="H1667" s="4" t="n">
        <v>120</v>
      </c>
      <c r="I1667" s="4" t="n">
        <v>241</v>
      </c>
      <c r="J1667" s="4" t="n">
        <v>73</v>
      </c>
      <c r="K1667" s="5" t="n">
        <v>1.6</v>
      </c>
      <c r="L1667" s="4" t="n">
        <v>232</v>
      </c>
      <c r="M1667" s="4" t="n">
        <v>70</v>
      </c>
      <c r="N1667" s="5" t="n">
        <v>1.7</v>
      </c>
      <c r="O1667" s="3" t="inlineStr">
        <is>
          <t>리즈데이즈 12월말부터 입주가능 보증금월세 탄력조율</t>
        </is>
      </c>
      <c r="P1667" s="6">
        <f>HYPERLINK("https://fin.land.naver.com/articles/2651299492", "매물Link")</f>
        <v/>
      </c>
      <c r="Q1667" s="6">
        <f>HYPERLINK("https://map.naver.com/p/search/해밀동 674", "지도Link")</f>
        <v/>
      </c>
      <c r="R1667" s="6">
        <f>HYPERLINK("http://www.eum.go.kr/web/ar/lu/luLandDet.jsp?pnu=3611011600106740000&amp;isNoScr=script&amp;mode=search", "토지이음")</f>
        <v/>
      </c>
      <c r="S1667" s="3" t="inlineStr">
        <is>
          <t>세종스타</t>
        </is>
      </c>
      <c r="T1667" s="4" t="n">
        <v>1</v>
      </c>
      <c r="U1667" s="5" t="n">
        <v>243.4</v>
      </c>
      <c r="V1667" s="4" t="n">
        <v>9076.4</v>
      </c>
      <c r="W1667" s="3" t="inlineStr">
        <is>
          <t>지정되지않음</t>
        </is>
      </c>
      <c r="X1667" s="3" t="inlineStr">
        <is>
          <t>주거나지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중로각지</t>
        </is>
      </c>
    </row>
    <row r="1668">
      <c r="A1668" s="3" t="inlineStr">
        <is>
          <t>해밀동 692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전세</t>
        </is>
      </c>
      <c r="G1668" s="4" t="n">
        <v>100000</v>
      </c>
      <c r="H1668" s="4" t="n">
        <v>0</v>
      </c>
      <c r="I1668" s="4" t="n">
        <v>558</v>
      </c>
      <c r="J1668" s="4" t="n">
        <v>169</v>
      </c>
      <c r="K1668" s="5" t="n">
        <v>591.7</v>
      </c>
      <c r="L1668" s="4" t="n">
        <v>222</v>
      </c>
      <c r="M1668" s="4" t="n">
        <v>67</v>
      </c>
      <c r="N1668" s="5" t="n">
        <v>1492.5</v>
      </c>
      <c r="O1668" s="3" t="inlineStr">
        <is>
          <t>해밀동 고급 타운하우스 시그니매종 전세 010 3819 3805</t>
        </is>
      </c>
      <c r="P1668" s="6">
        <f>HYPERLINK("https://fin.land.naver.com/articles/2654473736", "매물Link")</f>
        <v/>
      </c>
      <c r="Q1668" s="6">
        <f>HYPERLINK("https://map.naver.com/p/search/해밀동 692", "지도Link")</f>
        <v/>
      </c>
      <c r="R1668" s="6">
        <f>HYPERLINK("http://www.eum.go.kr/web/ar/lu/luLandDet.jsp?pnu=3611011600106920000&amp;isNoScr=script&amp;mode=search", "토지이음")</f>
        <v/>
      </c>
      <c r="S1668" s="3" t="inlineStr">
        <is>
          <t>국제</t>
        </is>
      </c>
      <c r="T1668" s="4" t="n">
        <v>1</v>
      </c>
      <c r="U1668" s="5" t="n">
        <v>243.4</v>
      </c>
      <c r="V1668" s="4" t="n">
        <v>6242.7</v>
      </c>
      <c r="W1668" s="3" t="inlineStr">
        <is>
          <t>지정되지않음</t>
        </is>
      </c>
      <c r="X1668" s="3" t="inlineStr">
        <is>
          <t>주거나지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중로각지</t>
        </is>
      </c>
    </row>
    <row r="1669">
      <c r="A1669" s="3" t="inlineStr">
        <is>
          <t>해밀동 692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단독</t>
        </is>
      </c>
      <c r="F1669" s="3" t="inlineStr">
        <is>
          <t>전세</t>
        </is>
      </c>
      <c r="G1669" s="4" t="n">
        <v>100000</v>
      </c>
      <c r="H1669" s="4" t="n">
        <v>0</v>
      </c>
      <c r="I1669" s="4" t="n">
        <v>257</v>
      </c>
      <c r="J1669" s="4" t="n">
        <v>78</v>
      </c>
      <c r="K1669" s="5" t="n">
        <v>1282.1</v>
      </c>
      <c r="L1669" s="4" t="n">
        <v>219</v>
      </c>
      <c r="M1669" s="4" t="n">
        <v>66</v>
      </c>
      <c r="N1669" s="5" t="n">
        <v>1515.2</v>
      </c>
      <c r="O1669" s="3" t="inlineStr">
        <is>
          <t>융무귀한전세매물, 방4, 화장실3</t>
        </is>
      </c>
      <c r="P1669" s="6">
        <f>HYPERLINK("https://fin.land.naver.com/articles/2652916996", "매물Link")</f>
        <v/>
      </c>
      <c r="Q1669" s="6">
        <f>HYPERLINK("https://map.naver.com/p/search/해밀동 692", "지도Link")</f>
        <v/>
      </c>
      <c r="R1669" s="6">
        <f>HYPERLINK("http://www.eum.go.kr/web/ar/lu/luLandDet.jsp?pnu=3611011600106920000&amp;isNoScr=script&amp;mode=search", "토지이음")</f>
        <v/>
      </c>
      <c r="S1669" s="3" t="inlineStr">
        <is>
          <t>세종국제</t>
        </is>
      </c>
      <c r="T1669" s="4" t="n">
        <v>1</v>
      </c>
      <c r="U1669" s="5" t="n">
        <v>243.4</v>
      </c>
      <c r="V1669" s="4" t="n">
        <v>6242.7</v>
      </c>
      <c r="W1669" s="3" t="inlineStr">
        <is>
          <t>지정되지않음</t>
        </is>
      </c>
      <c r="X1669" s="3" t="inlineStr">
        <is>
          <t>주거나지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중로각지</t>
        </is>
      </c>
    </row>
    <row r="1670">
      <c r="A1670" s="3" t="inlineStr">
        <is>
          <t>해밀동 692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1</t>
        </is>
      </c>
      <c r="E1670" s="3" t="inlineStr">
        <is>
          <t>단독</t>
        </is>
      </c>
      <c r="F1670" s="3" t="inlineStr">
        <is>
          <t>전세</t>
        </is>
      </c>
      <c r="G1670" s="4" t="n">
        <v>100000</v>
      </c>
      <c r="H1670" s="4" t="n">
        <v>0</v>
      </c>
      <c r="I1670" s="4" t="n">
        <v>118</v>
      </c>
      <c r="J1670" s="4" t="n">
        <v>36</v>
      </c>
      <c r="K1670" s="5" t="n">
        <v>2777.8</v>
      </c>
      <c r="L1670" s="4" t="n">
        <v>106</v>
      </c>
      <c r="M1670" s="4" t="n">
        <v>32</v>
      </c>
      <c r="N1670" s="5" t="n">
        <v>3125</v>
      </c>
      <c r="O1670" s="3" t="inlineStr">
        <is>
          <t>해밀동 고급 타운하우스 시그니매종 전세 010 3819 3805</t>
        </is>
      </c>
      <c r="P1670" s="6">
        <f>HYPERLINK("https://fin.land.naver.com/articles/2653180854", "매물Link")</f>
        <v/>
      </c>
      <c r="Q1670" s="6">
        <f>HYPERLINK("https://map.naver.com/p/search/해밀동 692", "지도Link")</f>
        <v/>
      </c>
      <c r="R1670" s="6">
        <f>HYPERLINK("http://www.eum.go.kr/web/ar/lu/luLandDet.jsp?pnu=3611011600106920000&amp;isNoScr=script&amp;mode=search", "토지이음")</f>
        <v/>
      </c>
      <c r="S1670" s="3" t="inlineStr">
        <is>
          <t>국제</t>
        </is>
      </c>
      <c r="T1670" s="4" t="n">
        <v>1</v>
      </c>
      <c r="U1670" s="5" t="n">
        <v>243.4</v>
      </c>
      <c r="V1670" s="4" t="n">
        <v>6242.7</v>
      </c>
      <c r="W1670" s="3" t="inlineStr">
        <is>
          <t>지정되지않음</t>
        </is>
      </c>
      <c r="X1670" s="3" t="inlineStr">
        <is>
          <t>주거나지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중로각지</t>
        </is>
      </c>
    </row>
    <row r="1671">
      <c r="A1671" s="3" t="inlineStr">
        <is>
          <t>해밀동 692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전세</t>
        </is>
      </c>
      <c r="G1671" s="4" t="n">
        <v>100000</v>
      </c>
      <c r="H1671" s="4" t="n">
        <v>0</v>
      </c>
      <c r="I1671" s="4" t="n">
        <v>0</v>
      </c>
      <c r="J1671" s="4" t="n">
        <v>0</v>
      </c>
      <c r="K1671" s="5" t="n">
        <v>0</v>
      </c>
      <c r="L1671" s="4" t="n">
        <v>219</v>
      </c>
      <c r="M1671" s="4" t="n">
        <v>66</v>
      </c>
      <c r="N1671" s="5" t="n">
        <v>1515.2</v>
      </c>
      <c r="O1671" s="3" t="inlineStr">
        <is>
          <t>복층형 누다락써비스공간 방4 화장실3 내집마당 테라스2 융무전세</t>
        </is>
      </c>
      <c r="P1671" s="6">
        <f>HYPERLINK("https://fin.land.naver.com/articles/2653793299", "매물Link")</f>
        <v/>
      </c>
      <c r="Q1671" s="6">
        <f>HYPERLINK("https://map.naver.com/p/search/해밀동 692", "지도Link")</f>
        <v/>
      </c>
      <c r="R1671" s="6">
        <f>HYPERLINK("http://www.eum.go.kr/web/ar/lu/luLandDet.jsp?pnu=3611011600106920000&amp;isNoScr=script&amp;mode=search", "토지이음")</f>
        <v/>
      </c>
      <c r="S1671" s="3" t="inlineStr">
        <is>
          <t>홍기표</t>
        </is>
      </c>
      <c r="T1671" s="4" t="n">
        <v>1</v>
      </c>
      <c r="U1671" s="5" t="n">
        <v>243.4</v>
      </c>
      <c r="V1671" s="4" t="n">
        <v>6242.7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중로각지</t>
        </is>
      </c>
    </row>
    <row r="1672">
      <c r="A1672" s="3" t="inlineStr">
        <is>
          <t>해밀동 692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단독</t>
        </is>
      </c>
      <c r="F1672" s="3" t="inlineStr">
        <is>
          <t>전세</t>
        </is>
      </c>
      <c r="G1672" s="4" t="n">
        <v>90000</v>
      </c>
      <c r="H1672" s="4" t="n">
        <v>0</v>
      </c>
      <c r="I1672" s="4" t="n">
        <v>231</v>
      </c>
      <c r="J1672" s="4" t="n">
        <v>70</v>
      </c>
      <c r="K1672" s="5" t="n">
        <v>1285.7</v>
      </c>
      <c r="L1672" s="4" t="n">
        <v>219</v>
      </c>
      <c r="M1672" s="4" t="n">
        <v>66</v>
      </c>
      <c r="N1672" s="5" t="n">
        <v>1363.6</v>
      </c>
      <c r="O1672" s="3" t="inlineStr">
        <is>
          <t>nan</t>
        </is>
      </c>
      <c r="P1672" s="6">
        <f>HYPERLINK("https://fin.land.naver.com/articles/2656025849", "매물Link")</f>
        <v/>
      </c>
      <c r="Q1672" s="6">
        <f>HYPERLINK("https://map.naver.com/p/search/해밀동 692", "지도Link")</f>
        <v/>
      </c>
      <c r="R1672" s="6">
        <f>HYPERLINK("http://www.eum.go.kr/web/ar/lu/luLandDet.jsp?pnu=3611011600106920000&amp;isNoScr=script&amp;mode=search",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243.4</v>
      </c>
      <c r="V1672" s="4" t="n">
        <v>6242.7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중로각지</t>
        </is>
      </c>
    </row>
    <row r="1673">
      <c r="A1673" s="3" t="inlineStr">
        <is>
          <t>해밀동 694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전세</t>
        </is>
      </c>
      <c r="G1673" s="4" t="n">
        <v>65000</v>
      </c>
      <c r="H1673" s="4" t="n">
        <v>0</v>
      </c>
      <c r="I1673" s="4" t="n">
        <v>0</v>
      </c>
      <c r="J1673" s="4" t="n">
        <v>0</v>
      </c>
      <c r="K1673" s="5" t="n">
        <v>0</v>
      </c>
      <c r="L1673" s="4" t="n">
        <v>173</v>
      </c>
      <c r="M1673" s="4" t="n">
        <v>52</v>
      </c>
      <c r="N1673" s="5" t="n">
        <v>1250</v>
      </c>
      <c r="O1673" s="3" t="inlineStr">
        <is>
          <t>신축 즉시입주가능 방4개 욕실3개 태양광시공</t>
        </is>
      </c>
      <c r="P1673" s="6">
        <f>HYPERLINK("https://fin.land.naver.com/articles/2652918023", "매물Link")</f>
        <v/>
      </c>
      <c r="Q1673" s="6">
        <f>HYPERLINK("https://map.naver.com/p/search/해밀동 694", "지도Link")</f>
        <v/>
      </c>
      <c r="R1673" s="6">
        <f>HYPERLINK("http://www.eum.go.kr/web/ar/lu/luLandDet.jsp?pnu=3611011600106940000&amp;isNoScr=script&amp;mode=search", "토지이음")</f>
        <v/>
      </c>
      <c r="S1673" s="3" t="inlineStr">
        <is>
          <t>세종스타</t>
        </is>
      </c>
      <c r="T1673" s="4" t="n">
        <v>2</v>
      </c>
      <c r="U1673" s="5" t="n">
        <v>227.3</v>
      </c>
      <c r="V1673" s="4" t="n">
        <v>7358.1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현도면 노산리 264</t>
        </is>
      </c>
      <c r="B1674" s="3" t="inlineStr">
        <is>
          <t>제1종일반주거지역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80000</v>
      </c>
      <c r="H1674" s="4" t="n">
        <v>0</v>
      </c>
      <c r="I1674" s="4" t="n">
        <v>503</v>
      </c>
      <c r="J1674" s="4" t="n">
        <v>152</v>
      </c>
      <c r="K1674" s="5" t="n">
        <v>526.3</v>
      </c>
      <c r="L1674" s="4" t="n">
        <v>99</v>
      </c>
      <c r="M1674" s="4" t="n">
        <v>30</v>
      </c>
      <c r="N1674" s="5" t="n">
        <v>2666.7</v>
      </c>
      <c r="O1674" s="3" t="inlineStr">
        <is>
          <t>아주 귀한 경치 좋고 조경 잘 되어 있는 마당 넓은 고급 한옥주택 매매</t>
        </is>
      </c>
      <c r="P1674" s="6">
        <f>HYPERLINK("https://fin.land.naver.com/articles/2652931148", "매물Link")</f>
        <v/>
      </c>
      <c r="Q1674" s="6">
        <f>HYPERLINK("https://map.naver.com/p/search/현도면 노산리 264", "지도Link")</f>
        <v/>
      </c>
      <c r="R1674" s="6">
        <f>HYPERLINK("http://www.eum.go.kr/web/ar/lu/luLandDet.jsp?pnu=4311232030102640000&amp;isNoScr=script&amp;mode=search", "토지이음")</f>
        <v/>
      </c>
      <c r="S1674" s="3" t="inlineStr">
        <is>
          <t>대전토지로무소</t>
        </is>
      </c>
      <c r="T1674" s="4" t="n">
        <v>1</v>
      </c>
      <c r="U1674" s="5" t="n">
        <v>56.3</v>
      </c>
      <c r="V1674" s="4" t="n">
        <v>542.7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세로한면(불)</t>
        </is>
      </c>
    </row>
    <row r="1675">
      <c r="A1675" s="3" t="inlineStr">
        <is>
          <t>현도면 노산리 744</t>
        </is>
      </c>
      <c r="B1675" s="3" t="inlineStr">
        <is>
          <t>제1종일반주거지역</t>
        </is>
      </c>
      <c r="C1675" s="3" t="inlineStr">
        <is>
          <t>대</t>
        </is>
      </c>
      <c r="D1675" s="3" t="inlineStr">
        <is>
          <t>1</t>
        </is>
      </c>
      <c r="E1675" s="3" t="inlineStr">
        <is>
          <t>전원주택</t>
        </is>
      </c>
      <c r="F1675" s="3" t="inlineStr">
        <is>
          <t>매매</t>
        </is>
      </c>
      <c r="G1675" s="4" t="n">
        <v>85000</v>
      </c>
      <c r="H1675" s="4" t="n">
        <v>0</v>
      </c>
      <c r="I1675" s="4" t="n">
        <v>532</v>
      </c>
      <c r="J1675" s="4" t="n">
        <v>161</v>
      </c>
      <c r="K1675" s="5" t="n">
        <v>528</v>
      </c>
      <c r="L1675" s="4" t="n">
        <v>152</v>
      </c>
      <c r="M1675" s="4" t="n">
        <v>46</v>
      </c>
      <c r="N1675" s="5" t="n">
        <v>1847.8</v>
      </c>
      <c r="O1675" s="3" t="inlineStr">
        <is>
          <t>(사진첨부)현도면 노산리 전원주택, 마당널은집, 매매합니다.</t>
        </is>
      </c>
      <c r="P1675" s="6">
        <f>HYPERLINK("https://fin.land.naver.com/articles/2656475443", "매물Link")</f>
        <v/>
      </c>
      <c r="Q1675" s="6">
        <f>HYPERLINK("https://map.naver.com/p/search/현도면 노산리 744", "지도Link")</f>
        <v/>
      </c>
      <c r="R1675" s="6">
        <f>HYPERLINK("http://www.eum.go.kr/web/ar/lu/luLandDet.jsp?pnu=4311232030107440000&amp;isNoScr=script&amp;mode=search", "토지이음")</f>
        <v/>
      </c>
      <c r="S1675" s="3" t="inlineStr">
        <is>
          <t>셀리</t>
        </is>
      </c>
      <c r="T1675" s="4" t="n">
        <v>1</v>
      </c>
      <c r="U1675" s="5" t="n">
        <v>66.2</v>
      </c>
      <c r="V1675" s="4" t="n">
        <v>559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세로한면(가)</t>
        </is>
      </c>
    </row>
    <row r="1676">
      <c r="A1676" s="3" t="inlineStr">
        <is>
          <t>현도면 노산리 744</t>
        </is>
      </c>
      <c r="B1676" s="3" t="inlineStr">
        <is>
          <t>제1종일반주거지역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70000</v>
      </c>
      <c r="H1676" s="4" t="n">
        <v>0</v>
      </c>
      <c r="I1676" s="4" t="n">
        <v>532</v>
      </c>
      <c r="J1676" s="4" t="n">
        <v>161</v>
      </c>
      <c r="K1676" s="5" t="n">
        <v>434.8</v>
      </c>
      <c r="L1676" s="4" t="n">
        <v>152</v>
      </c>
      <c r="M1676" s="4" t="n">
        <v>46</v>
      </c>
      <c r="N1676" s="5" t="n">
        <v>1521.7</v>
      </c>
      <c r="O1676" s="3" t="inlineStr">
        <is>
          <t>접근로 좋은 잔디밭의 넓은마당과 주변환경 좋은 전원주택입니다.</t>
        </is>
      </c>
      <c r="P1676" s="6">
        <f>HYPERLINK("https://fin.land.naver.com/articles/2655657732", "매물Link")</f>
        <v/>
      </c>
      <c r="Q1676" s="6">
        <f>HYPERLINK("https://map.naver.com/p/search/현도면 노산리 744", "지도Link")</f>
        <v/>
      </c>
      <c r="R1676" s="6">
        <f>HYPERLINK("http://www.eum.go.kr/web/ar/lu/luLandDet.jsp?pnu=4311232030107440000&amp;isNoScr=script&amp;mode=search", "토지이음")</f>
        <v/>
      </c>
      <c r="S1676" s="3" t="inlineStr">
        <is>
          <t>이삭</t>
        </is>
      </c>
      <c r="T1676" s="4" t="n">
        <v>1</v>
      </c>
      <c r="U1676" s="5" t="n">
        <v>66.2</v>
      </c>
      <c r="V1676" s="4" t="n">
        <v>559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세로한면(가)</t>
        </is>
      </c>
    </row>
    <row r="1677">
      <c r="A1677" s="3" t="inlineStr">
        <is>
          <t>현도면 달계리 569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39000</v>
      </c>
      <c r="H1677" s="4" t="n">
        <v>0</v>
      </c>
      <c r="I1677" s="4" t="n">
        <v>369</v>
      </c>
      <c r="J1677" s="4" t="n">
        <v>112</v>
      </c>
      <c r="K1677" s="5" t="n">
        <v>348.2</v>
      </c>
      <c r="L1677" s="4" t="n">
        <v>196</v>
      </c>
      <c r="M1677" s="4" t="n">
        <v>59</v>
      </c>
      <c r="N1677" s="5" t="n">
        <v>661</v>
      </c>
      <c r="O1677" s="3" t="inlineStr">
        <is>
          <t>2층 전원 주택, 마당있는 오래 되지 않은 깔끔한 집</t>
        </is>
      </c>
      <c r="P1677" s="6">
        <f>HYPERLINK("https://fin.land.naver.com/articles/2654178077", "매물Link")</f>
        <v/>
      </c>
      <c r="Q1677" s="6">
        <f>HYPERLINK("https://map.naver.com/p/search/현도면 달계리 569", "지도Link")</f>
        <v/>
      </c>
      <c r="R1677" s="6">
        <f>HYPERLINK("http://www.eum.go.kr/web/ar/lu/luLandDet.jsp?pnu=4311232031105690000&amp;isNoScr=script&amp;mode=search", "토지이음")</f>
        <v/>
      </c>
      <c r="S1677" s="3" t="inlineStr">
        <is>
          <t>복돼지</t>
        </is>
      </c>
      <c r="T1677" s="4" t="n">
        <v>1</v>
      </c>
      <c r="U1677" s="5" t="n">
        <v>96</v>
      </c>
      <c r="V1677" s="4" t="n">
        <v>380.4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세로한면(가)</t>
        </is>
      </c>
    </row>
    <row r="1678">
      <c r="A1678" s="3" t="inlineStr">
        <is>
          <t>현도면 매봉리 224-12</t>
        </is>
      </c>
      <c r="B1678" s="3" t="inlineStr">
        <is>
          <t>일반상업지역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매매</t>
        </is>
      </c>
      <c r="G1678" s="4" t="n">
        <v>95000</v>
      </c>
      <c r="H1678" s="4" t="n">
        <v>0</v>
      </c>
      <c r="I1678" s="4" t="n">
        <v>576</v>
      </c>
      <c r="J1678" s="4" t="n">
        <v>174</v>
      </c>
      <c r="K1678" s="5" t="n">
        <v>546</v>
      </c>
      <c r="L1678" s="4" t="n">
        <v>154</v>
      </c>
      <c r="M1678" s="4" t="n">
        <v>47</v>
      </c>
      <c r="N1678" s="5" t="n">
        <v>2021.3</v>
      </c>
      <c r="O1678" s="3" t="inlineStr">
        <is>
          <t>충북 청주시 서원구 현도면 매봉리 상업지역내 단독주택 급매</t>
        </is>
      </c>
      <c r="P1678" s="6">
        <f>HYPERLINK("https://fin.land.naver.com/articles/2650902869", "매물Link")</f>
        <v/>
      </c>
      <c r="Q1678" s="6">
        <f>HYPERLINK("https://map.naver.com/p/search/현도면 매봉리 224-12", "지도Link")</f>
        <v/>
      </c>
      <c r="R1678" s="6">
        <f>HYPERLINK("http://www.eum.go.kr/web/ar/lu/luLandDet.jsp?pnu=4311232032102240012&amp;isNoScr=script&amp;mode=search", "토지이음")</f>
        <v/>
      </c>
      <c r="S1678" s="3" t="inlineStr">
        <is>
          <t>리얼바인</t>
        </is>
      </c>
      <c r="T1678" s="4" t="n">
        <v>1</v>
      </c>
      <c r="U1678" s="5" t="n">
        <v>88.5</v>
      </c>
      <c r="V1678" s="4" t="n">
        <v>576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세로한면(가)</t>
        </is>
      </c>
    </row>
    <row r="1679">
      <c r="A1679" s="3" t="inlineStr">
        <is>
          <t>현도면 매봉리 224-12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95000</v>
      </c>
      <c r="H1679" s="4" t="n">
        <v>0</v>
      </c>
      <c r="I1679" s="4" t="n">
        <v>576</v>
      </c>
      <c r="J1679" s="4" t="n">
        <v>174</v>
      </c>
      <c r="K1679" s="5" t="n">
        <v>546</v>
      </c>
      <c r="L1679" s="4" t="n">
        <v>70</v>
      </c>
      <c r="M1679" s="4" t="n">
        <v>21</v>
      </c>
      <c r="N1679" s="5" t="n">
        <v>4523.8</v>
      </c>
      <c r="O1679" s="3" t="inlineStr">
        <is>
          <t>nan</t>
        </is>
      </c>
      <c r="P1679" s="6">
        <f>HYPERLINK("https://fin.land.naver.com/articles/2653056887", "매물Link")</f>
        <v/>
      </c>
      <c r="Q1679" s="6">
        <f>HYPERLINK("https://map.naver.com/p/search/현도면 매봉리 224-12", "지도Link")</f>
        <v/>
      </c>
      <c r="R1679" s="6">
        <f>HYPERLINK("http://www.eum.go.kr/web/ar/lu/luLandDet.jsp?pnu=4311232032102240012&amp;isNoScr=script&amp;mode=search", "토지이음")</f>
        <v/>
      </c>
      <c r="S1679" s="3" t="inlineStr">
        <is>
          <t>Home</t>
        </is>
      </c>
      <c r="T1679" s="4" t="n">
        <v>1</v>
      </c>
      <c r="U1679" s="5" t="n">
        <v>88.5</v>
      </c>
      <c r="V1679" s="4" t="n">
        <v>576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세로한면(가)</t>
        </is>
      </c>
    </row>
    <row r="1680">
      <c r="A1680" s="3" t="inlineStr">
        <is>
          <t>현도면 시동리 247</t>
        </is>
      </c>
      <c r="B1680" s="3" t="inlineStr">
        <is>
          <t>생산관리지역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전원주택</t>
        </is>
      </c>
      <c r="F1680" s="3" t="inlineStr">
        <is>
          <t>매매</t>
        </is>
      </c>
      <c r="G1680" s="4" t="n">
        <v>60000</v>
      </c>
      <c r="H1680" s="4" t="n">
        <v>0</v>
      </c>
      <c r="I1680" s="4" t="n">
        <v>1166</v>
      </c>
      <c r="J1680" s="4" t="n">
        <v>353</v>
      </c>
      <c r="K1680" s="5" t="n">
        <v>170</v>
      </c>
      <c r="L1680" s="4" t="n">
        <v>132</v>
      </c>
      <c r="M1680" s="4" t="n">
        <v>40</v>
      </c>
      <c r="N1680" s="5" t="n">
        <v>1500</v>
      </c>
      <c r="O1680" s="3" t="inlineStr">
        <is>
          <t>황토로 지은 한옥, 야외 정자, 저온저장고 포함</t>
        </is>
      </c>
      <c r="P1680" s="6">
        <f>HYPERLINK("https://fin.land.naver.com/articles/2652512985", "매물Link")</f>
        <v/>
      </c>
      <c r="Q1680" s="6">
        <f>HYPERLINK("https://map.naver.com/p/search/현도면 시동리 247", "지도Link")</f>
        <v/>
      </c>
      <c r="R1680" s="6">
        <f>HYPERLINK("http://www.eum.go.kr/web/ar/lu/luLandDet.jsp?pnu=4311232025102470000&amp;isNoScr=script&amp;mode=search", "토지이음")</f>
        <v/>
      </c>
      <c r="S1680" s="3" t="inlineStr">
        <is>
          <t>남청주IC</t>
        </is>
      </c>
      <c r="T1680" s="4" t="n">
        <v>1</v>
      </c>
      <c r="U1680" s="5" t="n">
        <v>28.3</v>
      </c>
      <c r="V1680" s="4" t="n">
        <v>496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완경사</t>
        </is>
      </c>
      <c r="Z1680" s="3" t="inlineStr">
        <is>
          <t>사다리형</t>
        </is>
      </c>
      <c r="AA1680" s="3" t="inlineStr">
        <is>
          <t>세로각지(가)</t>
        </is>
      </c>
    </row>
    <row r="1681">
      <c r="A1681" s="3" t="inlineStr">
        <is>
          <t>현도면 시동리 259-5</t>
        </is>
      </c>
      <c r="B1681" s="3" t="inlineStr">
        <is>
          <t>생산관리지역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매매</t>
        </is>
      </c>
      <c r="G1681" s="4" t="n">
        <v>26000</v>
      </c>
      <c r="H1681" s="4" t="n">
        <v>0</v>
      </c>
      <c r="I1681" s="4" t="n">
        <v>1053</v>
      </c>
      <c r="J1681" s="4" t="n">
        <v>319</v>
      </c>
      <c r="K1681" s="5" t="n">
        <v>81.5</v>
      </c>
      <c r="L1681" s="4" t="n">
        <v>77</v>
      </c>
      <c r="M1681" s="4" t="n">
        <v>23</v>
      </c>
      <c r="N1681" s="5" t="n">
        <v>1130.4</v>
      </c>
      <c r="O1681" s="3" t="inlineStr">
        <is>
          <t>주택포함 3필지 매매, 생산관리지역, 신탄진지역 차로 10분 거리</t>
        </is>
      </c>
      <c r="P1681" s="6">
        <f>HYPERLINK("https://fin.land.naver.com/articles/2651238631", "매물Link")</f>
        <v/>
      </c>
      <c r="Q1681" s="6">
        <f>HYPERLINK("https://map.naver.com/p/search/현도면 시동리 259-5", "지도Link")</f>
        <v/>
      </c>
      <c r="R1681" s="6">
        <f>HYPERLINK("http://www.eum.go.kr/web/ar/lu/luLandDet.jsp?pnu=4311232025102590005&amp;isNoScr=script&amp;mode=search", "토지이음")</f>
        <v/>
      </c>
      <c r="S1681" s="3" t="inlineStr">
        <is>
          <t>복돼지</t>
        </is>
      </c>
      <c r="T1681" s="4" t="n">
        <v>1</v>
      </c>
      <c r="U1681" s="5" t="n">
        <v>32.5</v>
      </c>
      <c r="V1681" s="4" t="n">
        <v>454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세로한면(가)</t>
        </is>
      </c>
    </row>
    <row r="1682">
      <c r="A1682" s="3" t="inlineStr">
        <is>
          <t>현도면 우록리 478-2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매매</t>
        </is>
      </c>
      <c r="G1682" s="4" t="n">
        <v>25000</v>
      </c>
      <c r="H1682" s="4" t="n">
        <v>0</v>
      </c>
      <c r="I1682" s="4" t="n">
        <v>468</v>
      </c>
      <c r="J1682" s="4" t="n">
        <v>142</v>
      </c>
      <c r="K1682" s="5" t="n">
        <v>176.1</v>
      </c>
      <c r="L1682" s="4" t="n">
        <v>99</v>
      </c>
      <c r="M1682" s="4" t="n">
        <v>30</v>
      </c>
      <c r="N1682" s="5" t="n">
        <v>833.3</v>
      </c>
      <c r="O1682" s="3" t="inlineStr">
        <is>
          <t>텃밭과 튼튼하게 지어진 단독주택, 실거주추천, 시세대비저렴</t>
        </is>
      </c>
      <c r="P1682" s="6">
        <f>HYPERLINK("https://fin.land.naver.com/articles/2655508523", "매물Link")</f>
        <v/>
      </c>
      <c r="Q1682" s="6">
        <f>HYPERLINK("https://map.naver.com/p/search/현도면 우록리 478-2", "지도Link")</f>
        <v/>
      </c>
      <c r="R1682" s="6">
        <f>HYPERLINK("http://www.eum.go.kr/web/ar/lu/luLandDet.jsp?pnu=4311232024104780002&amp;isNoScr=script&amp;mode=search", "토지이음")</f>
        <v/>
      </c>
      <c r="S1682" s="3" t="inlineStr">
        <is>
          <t>세종복댕이</t>
        </is>
      </c>
      <c r="T1682" s="4" t="n">
        <v>1</v>
      </c>
      <c r="U1682" s="5" t="n">
        <v>42.7</v>
      </c>
      <c r="V1682" s="4" t="n">
        <v>468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부정형</t>
        </is>
      </c>
      <c r="AA1682" s="3" t="inlineStr">
        <is>
          <t>세로한면(가)</t>
        </is>
      </c>
    </row>
    <row r="1683">
      <c r="A1683" s="3" t="inlineStr">
        <is>
          <t>현도면 죽전리 653-4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2</t>
        </is>
      </c>
      <c r="E1683" s="3" t="inlineStr">
        <is>
          <t>단독</t>
        </is>
      </c>
      <c r="F1683" s="3" t="inlineStr">
        <is>
          <t>매매</t>
        </is>
      </c>
      <c r="G1683" s="4" t="n">
        <v>58000</v>
      </c>
      <c r="H1683" s="4" t="n">
        <v>0</v>
      </c>
      <c r="I1683" s="4" t="n">
        <v>632</v>
      </c>
      <c r="J1683" s="4" t="n">
        <v>191</v>
      </c>
      <c r="K1683" s="5" t="n">
        <v>303.7</v>
      </c>
      <c r="L1683" s="4" t="n">
        <v>260</v>
      </c>
      <c r="M1683" s="4" t="n">
        <v>79</v>
      </c>
      <c r="N1683" s="5" t="n">
        <v>734.2</v>
      </c>
      <c r="O1683" s="3" t="inlineStr">
        <is>
          <t>옥포초등학교 근처 전원주택, 2층으로 마당과 주차공간 있는 이쁜 집</t>
        </is>
      </c>
      <c r="P1683" s="6">
        <f>HYPERLINK("https://fin.land.naver.com/articles/2655015994", "매물Link")</f>
        <v/>
      </c>
      <c r="Q1683" s="6">
        <f>HYPERLINK("https://map.naver.com/p/search/현도면 죽전리 653-4", "지도Link")</f>
        <v/>
      </c>
      <c r="R1683" s="6">
        <f>HYPERLINK("http://www.eum.go.kr/web/ar/lu/luLandDet.jsp?pnu=4311232023106530004&amp;isNoScr=script&amp;mode=search", "토지이음")</f>
        <v/>
      </c>
      <c r="S1683" s="3" t="inlineStr">
        <is>
          <t>복돼지</t>
        </is>
      </c>
      <c r="T1683" s="4" t="n">
        <v>1</v>
      </c>
      <c r="U1683" s="5" t="n">
        <v>47.8</v>
      </c>
      <c r="V1683" s="4" t="n">
        <v>632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완경사</t>
        </is>
      </c>
      <c r="Z1683" s="3" t="inlineStr">
        <is>
          <t>사다리형</t>
        </is>
      </c>
      <c r="AA1683" s="3" t="inlineStr">
        <is>
          <t>세로한면(가)</t>
        </is>
      </c>
    </row>
    <row r="1684">
      <c r="A1684" s="3" t="inlineStr">
        <is>
          <t>현도면 하석리 183</t>
        </is>
      </c>
      <c r="B1684" s="3" t="inlineStr">
        <is>
          <t>자연녹지지역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35000</v>
      </c>
      <c r="H1684" s="4" t="n">
        <v>0</v>
      </c>
      <c r="I1684" s="4" t="n">
        <v>1114</v>
      </c>
      <c r="J1684" s="4" t="n">
        <v>337</v>
      </c>
      <c r="K1684" s="5" t="n">
        <v>103.9</v>
      </c>
      <c r="L1684" s="4" t="n">
        <v>111</v>
      </c>
      <c r="M1684" s="4" t="n">
        <v>34</v>
      </c>
      <c r="N1684" s="5" t="n">
        <v>1029.4</v>
      </c>
      <c r="O1684" s="3" t="inlineStr">
        <is>
          <t>nan</t>
        </is>
      </c>
      <c r="P1684" s="6">
        <f>HYPERLINK("https://fin.land.naver.com/articles/2650891171", "매물Link")</f>
        <v/>
      </c>
      <c r="Q1684" s="6">
        <f>HYPERLINK("https://map.naver.com/p/search/현도면 하석리 183", "지도Link")</f>
        <v/>
      </c>
      <c r="R1684" s="6">
        <f>HYPERLINK("http://www.eum.go.kr/web/ar/lu/luLandDet.jsp?pnu=4311232029101830000&amp;isNoScr=script&amp;mode=search", "토지이음")</f>
        <v/>
      </c>
      <c r="S1684" s="3" t="inlineStr">
        <is>
          <t>대웅</t>
        </is>
      </c>
      <c r="T1684" s="4" t="n">
        <v>1</v>
      </c>
      <c r="U1684" s="5" t="n">
        <v>32.6</v>
      </c>
      <c r="V1684" s="4" t="n">
        <v>810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완경사</t>
        </is>
      </c>
      <c r="Z1684" s="3" t="inlineStr">
        <is>
          <t>사다리형</t>
        </is>
      </c>
      <c r="AA1684" s="3" t="inlineStr">
        <is>
          <t>세로한면(가)</t>
        </is>
      </c>
    </row>
  </sheetData>
  <autoFilter ref="A1:AA16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3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17000</v>
      </c>
      <c r="G2" s="4" t="n">
        <v>482</v>
      </c>
      <c r="H2" s="4" t="n">
        <v>146</v>
      </c>
      <c r="I2" s="5" t="n">
        <v>116.4</v>
      </c>
      <c r="J2" s="5" t="n">
        <v>7.5</v>
      </c>
      <c r="K2" s="3" t="inlineStr">
        <is>
          <t>전원 주택지.단독 주택지.바로 건축 가능한 토지.</t>
        </is>
      </c>
      <c r="L2" s="6">
        <f>HYPERLINK("https://fin.land.naver.com/articles/2656137919",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현담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HYPERLINK("https://fin.land.naver.com/articles/2652065365",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HYPERLINK("https://fin.land.naver.com/articles/2655101878",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HYPERLINK("https://fin.land.naver.com/articles/2656239499",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HYPERLINK("https://fin.land.naver.com/articles/2656271444",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2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2001</v>
      </c>
      <c r="I69" s="5" t="n">
        <v>25</v>
      </c>
      <c r="J69" s="5" t="n">
        <v>3.1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HYPERLINK("https://fin.land.naver.com/articles/2652326769",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HYPERLINK("http://www.eum.go.kr/web/ar/lu/luLandDet.jsp?pnu=4311331025200410002&amp;isNoScr=script&amp;mode=search",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1817</v>
      </c>
      <c r="I70" s="5" t="n">
        <v>150</v>
      </c>
      <c r="J70" s="5" t="n">
        <v>6.3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HYPERLINK("https://fin.land.naver.com/articles/2655104240",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115-1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110000</v>
      </c>
      <c r="G72" s="4" t="n">
        <v>2499</v>
      </c>
      <c r="H72" s="4" t="n">
        <v>756</v>
      </c>
      <c r="I72" s="5" t="n">
        <v>145.5</v>
      </c>
      <c r="J72" s="5" t="n">
        <v>52.6</v>
      </c>
      <c r="K72" s="3" t="inlineStr">
        <is>
          <t>개발호재 가능지역 토지투자용으로 적극 추천</t>
        </is>
      </c>
      <c r="L72" s="6">
        <f>HYPERLINK("https://fin.land.naver.com/articles/2656123336", "매물Link")</f>
        <v/>
      </c>
      <c r="M72" s="6">
        <f>HYPERLINK("https://map.naver.com/p/search/강내면 석화리 115-1", "지도Link")</f>
        <v/>
      </c>
      <c r="N72" s="6">
        <f>HYPERLINK("http://www.eum.go.kr/web/ar/lu/luLandDet.jsp?pnu=4311331032101150001&amp;isNoScr=script&amp;mode=search",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2499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HYPERLINK("https://fin.land.naver.com/articles/2654719768",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HYPERLINK("https://fin.land.naver.com/articles/2654700738",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HYPERLINK("https://fin.land.naver.com/articles/2653084393",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1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HYPERLINK("https://fin.land.naver.com/articles/2653660276",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16320</v>
      </c>
      <c r="G84" s="4" t="n">
        <v>899</v>
      </c>
      <c r="H84" s="4" t="n">
        <v>272</v>
      </c>
      <c r="I84" s="5" t="n">
        <v>60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도로에접 생산관리 오송역 인근 토지로 장래 투자가치 있어요</t>
        </is>
      </c>
      <c r="L96" s="6">
        <f>HYPERLINK("https://fin.land.naver.com/articles/2652339427",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병천참조은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HYPERLINK("https://fin.land.naver.com/articles/2655492258",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98000</v>
      </c>
      <c r="G101" s="4" t="n">
        <v>785</v>
      </c>
      <c r="H101" s="4" t="n">
        <v>237</v>
      </c>
      <c r="I101" s="5" t="n">
        <v>413.5</v>
      </c>
      <c r="J101" s="5" t="n">
        <v>30.6</v>
      </c>
      <c r="K101" s="3" t="inlineStr">
        <is>
          <t>미호강 강조망 근생허가 희소 토지 조율가능</t>
        </is>
      </c>
      <c r="L101" s="6">
        <f>HYPERLINK("https://fin.land.naver.com/articles/2652136996", "매물Link")</f>
        <v/>
      </c>
      <c r="M101" s="6">
        <f>HYPERLINK("https://map.naver.com/p/search/강내면 월탄리 231", "지도Link")</f>
        <v/>
      </c>
      <c r="N101" s="6">
        <f>HYPERLINK("http://www.eum.go.kr/web/ar/lu/luLandDet.jsp?pnu=4311331030102310000&amp;isNoScr=script&amp;mode=search", "토지이음")</f>
        <v/>
      </c>
      <c r="O101" s="3" t="inlineStr">
        <is>
          <t>세종스타</t>
        </is>
      </c>
      <c r="P101" s="4" t="n">
        <v>1</v>
      </c>
      <c r="Q101" s="4" t="n">
        <v>785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231-14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34700</v>
      </c>
      <c r="G102" s="4" t="n">
        <v>500</v>
      </c>
      <c r="H102" s="4" t="n">
        <v>151</v>
      </c>
      <c r="I102" s="5" t="n">
        <v>229.8</v>
      </c>
      <c r="J102" s="5" t="n">
        <v>30.6</v>
      </c>
      <c r="K102" s="3" t="inlineStr">
        <is>
          <t>토지매매 도로지분포함 상하수도 공사완료</t>
        </is>
      </c>
      <c r="L102" s="6">
        <f>HYPERLINK("https://fin.land.naver.com/articles/2655719263", "매물Link")</f>
        <v/>
      </c>
      <c r="M102" s="6">
        <f>HYPERLINK("https://map.naver.com/p/search/강내면 월탄리 231-14", "지도Link")</f>
        <v/>
      </c>
      <c r="N102" s="6">
        <f>HYPERLINK("http://www.eum.go.kr/web/ar/lu/luLandDet.jsp?pnu=4311331030102310014&amp;isNoScr=script&amp;mode=search", "토지이음")</f>
        <v/>
      </c>
      <c r="O102" s="3" t="inlineStr">
        <is>
          <t>미소자이합동</t>
        </is>
      </c>
      <c r="P102" s="4" t="n">
        <v>1</v>
      </c>
      <c r="Q102" s="4" t="n">
        <v>500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49-18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175000</v>
      </c>
      <c r="G103" s="4" t="n">
        <v>1706</v>
      </c>
      <c r="H103" s="4" t="n">
        <v>516</v>
      </c>
      <c r="I103" s="5" t="n">
        <v>339.1</v>
      </c>
      <c r="J103" s="5" t="n">
        <v>48.2</v>
      </c>
      <c r="K103" s="3" t="inlineStr">
        <is>
          <t>3동 다가구 건축 가능한 토지 ,대학가 옆에 위치한 땅</t>
        </is>
      </c>
      <c r="L103" s="6">
        <f>HYPERLINK("https://fin.land.naver.com/articles/2653292859", "매물Link")</f>
        <v/>
      </c>
      <c r="M103" s="6">
        <f>HYPERLINK("https://map.naver.com/p/search/강내면 월탄리 49-18", "지도Link")</f>
        <v/>
      </c>
      <c r="N103" s="6">
        <f>HYPERLINK("http://www.eum.go.kr/web/ar/lu/luLandDet.jsp?pnu=4311331030100490018&amp;isNoScr=script&amp;mode=search", "토지이음")</f>
        <v/>
      </c>
      <c r="O103" s="3" t="inlineStr">
        <is>
          <t>동남이지</t>
        </is>
      </c>
      <c r="P103" s="4" t="n">
        <v>1</v>
      </c>
      <c r="Q103" s="4" t="n">
        <v>1706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세로각지(가)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HYPERLINK("https://fin.land.naver.com/articles/2653397113",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HYPERLINK("https://fin.land.naver.com/articles/2656429312",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143-1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1100000</v>
      </c>
      <c r="G112" s="4" t="n">
        <v>46836</v>
      </c>
      <c r="H112" s="4" t="n">
        <v>14168</v>
      </c>
      <c r="I112" s="5" t="n">
        <v>77.59999999999999</v>
      </c>
      <c r="J112" s="5" t="n">
        <v>22.7</v>
      </c>
      <c r="K112" s="3" t="inlineStr">
        <is>
          <t>계획관리,6m도로접,분할매매가,대형커피숍,제빵소추천,세종시5생활권인접</t>
        </is>
      </c>
      <c r="L112" s="6">
        <f>HYPERLINK("https://fin.land.naver.com/articles/2652719047", "매물Link")</f>
        <v/>
      </c>
      <c r="M112" s="6">
        <f>HYPERLINK("https://map.naver.com/p/search/강내면 저산리 143-1", "지도Link")</f>
        <v/>
      </c>
      <c r="N112" s="6">
        <f>HYPERLINK("http://www.eum.go.kr/web/ar/lu/luLandDet.jsp?pnu=4311331023101430001&amp;isNoScr=script&amp;mode=search", "토지이음")</f>
        <v/>
      </c>
      <c r="O112" s="3" t="inlineStr">
        <is>
          <t>세종지원</t>
        </is>
      </c>
      <c r="P112" s="4" t="n">
        <v>1</v>
      </c>
      <c r="Q112" s="4" t="n">
        <v>15495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159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130000</v>
      </c>
      <c r="G113" s="4" t="n">
        <v>59428</v>
      </c>
      <c r="H113" s="4" t="n">
        <v>17977</v>
      </c>
      <c r="I113" s="5" t="n">
        <v>7.2</v>
      </c>
      <c r="J113" s="5" t="n">
        <v>41.3</v>
      </c>
      <c r="K113" s="3" t="inlineStr">
        <is>
          <t>nan</t>
        </is>
      </c>
      <c r="L113" s="6">
        <f>HYPERLINK("https://fin.land.naver.com/articles/2656067151", "매물Link")</f>
        <v/>
      </c>
      <c r="M113" s="6">
        <f>HYPERLINK("https://map.naver.com/p/search/강내면 저산리 159", "지도Link")</f>
        <v/>
      </c>
      <c r="N113" s="6">
        <f>HYPERLINK("http://www.eum.go.kr/web/ar/lu/luLandDet.jsp?pnu=4311331023101590000&amp;isNoScr=script&amp;mode=search",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7107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세로한면(가)</t>
        </is>
      </c>
    </row>
    <row r="114">
      <c r="A114" s="3" t="inlineStr">
        <is>
          <t>강내면 저산리 171-1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60000</v>
      </c>
      <c r="G114" s="4" t="n">
        <v>1320</v>
      </c>
      <c r="H114" s="4" t="n">
        <v>399</v>
      </c>
      <c r="I114" s="5" t="n">
        <v>150.4</v>
      </c>
      <c r="J114" s="5" t="n">
        <v>43.6</v>
      </c>
      <c r="K114" s="3" t="inlineStr">
        <is>
          <t>nan</t>
        </is>
      </c>
      <c r="L114" s="6">
        <f>HYPERLINK("https://fin.land.naver.com/articles/2653996821", "매물Link")</f>
        <v/>
      </c>
      <c r="M114" s="6">
        <f>HYPERLINK("https://map.naver.com/p/search/강내면 저산리 171-1", "지도Link")</f>
        <v/>
      </c>
      <c r="N114" s="6">
        <f>HYPERLINK("http://www.eum.go.kr/web/ar/lu/luLandDet.jsp?pnu=4311331023101710001&amp;isNoScr=script&amp;mode=search",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1047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HYPERLINK("https://fin.land.naver.com/articles/2654578566",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248-6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전</t>
        </is>
      </c>
      <c r="E119" s="3" t="inlineStr">
        <is>
          <t>매매</t>
        </is>
      </c>
      <c r="F119" s="4" t="n">
        <v>14000</v>
      </c>
      <c r="G119" s="4" t="n">
        <v>541</v>
      </c>
      <c r="H119" s="4" t="n">
        <v>164</v>
      </c>
      <c r="I119" s="5" t="n">
        <v>85.40000000000001</v>
      </c>
      <c r="J119" s="5" t="n">
        <v>6.6</v>
      </c>
      <c r="K119" s="3" t="inlineStr">
        <is>
          <t>급매, 가격절충,건축허가득</t>
        </is>
      </c>
      <c r="L119" s="6">
        <f>HYPERLINK("https://fin.land.naver.com/articles/2651440176", "매물Link")</f>
        <v/>
      </c>
      <c r="M119" s="6">
        <f>HYPERLINK("https://map.naver.com/p/search/강내면 저산리 248-6", "지도Link")</f>
        <v/>
      </c>
      <c r="N119" s="6">
        <f>HYPERLINK("http://www.eum.go.kr/web/ar/lu/luLandDet.jsp?pnu=4311331023102480006&amp;isNoScr=script&amp;mode=search",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102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세로각지(가)</t>
        </is>
      </c>
    </row>
    <row r="120">
      <c r="A120" s="3" t="inlineStr">
        <is>
          <t>강내면 저산리 318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30500</v>
      </c>
      <c r="G120" s="4" t="n">
        <v>2877</v>
      </c>
      <c r="H120" s="4" t="n">
        <v>870</v>
      </c>
      <c r="I120" s="5" t="n">
        <v>35.1</v>
      </c>
      <c r="J120" s="5" t="n">
        <v>14.6</v>
      </c>
      <c r="K120" s="3" t="inlineStr">
        <is>
          <t>2차선 도로접 주말농장 대토용 적합</t>
        </is>
      </c>
      <c r="L120" s="6">
        <f>HYPERLINK("https://fin.land.naver.com/articles/2655501642", "매물Link")</f>
        <v/>
      </c>
      <c r="M120" s="6">
        <f>HYPERLINK("https://map.naver.com/p/search/강내면 저산리 318", "지도Link")</f>
        <v/>
      </c>
      <c r="N120" s="6">
        <f>HYPERLINK("http://www.eum.go.kr/web/ar/lu/luLandDet.jsp?pnu=4311331023103180000&amp;isNoScr=script&amp;mode=search", "토지이음")</f>
        <v/>
      </c>
      <c r="O120" s="3" t="inlineStr">
        <is>
          <t>수풀림</t>
        </is>
      </c>
      <c r="P120" s="4" t="n">
        <v>1</v>
      </c>
      <c r="Q120" s="4" t="n">
        <v>2877.5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HYPERLINK("https://fin.land.naver.com/articles/2656162536",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HYPERLINK("https://fin.land.naver.com/articles/2651885054",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HYPERLINK("https://fin.land.naver.com/articles/2654890468",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14000</v>
      </c>
      <c r="G133" s="4" t="n">
        <v>541</v>
      </c>
      <c r="H133" s="4" t="n">
        <v>164</v>
      </c>
      <c r="I133" s="5" t="n">
        <v>85.40000000000001</v>
      </c>
      <c r="J133" s="5" t="n">
        <v>6.3</v>
      </c>
      <c r="K133" s="3" t="inlineStr">
        <is>
          <t>전원주택 또는 소형 근린생활시설 부지로 추천</t>
        </is>
      </c>
      <c r="L133" s="6">
        <f>HYPERLINK("https://fin.land.naver.com/articles/2651537028", "매물Link")</f>
        <v/>
      </c>
      <c r="M133" s="6">
        <f>HYPERLINK("https://map.naver.com/p/search/강내면 저산리 산60-23", "지도Link")</f>
        <v/>
      </c>
      <c r="N133" s="6">
        <f>HYPERLINK("http://www.eum.go.kr/web/ar/lu/luLandDet.jsp?pnu=4311331023200600023&amp;isNoScr=script&amp;mode=search",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466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산60-26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16500</v>
      </c>
      <c r="G134" s="4" t="n">
        <v>641</v>
      </c>
      <c r="H134" s="4" t="n">
        <v>194</v>
      </c>
      <c r="I134" s="5" t="n">
        <v>85.09999999999999</v>
      </c>
      <c r="J134" s="5" t="n">
        <v>6.3</v>
      </c>
      <c r="K134" s="3" t="inlineStr">
        <is>
          <t>급매,가격절충,건축허가득</t>
        </is>
      </c>
      <c r="L134" s="6">
        <f>HYPERLINK("https://fin.land.naver.com/articles/2654644860", "매물Link")</f>
        <v/>
      </c>
      <c r="M134" s="6">
        <f>HYPERLINK("https://map.naver.com/p/search/강내면 저산리 산60-26", "지도Link")</f>
        <v/>
      </c>
      <c r="N134" s="6">
        <f>HYPERLINK("http://www.eum.go.kr/web/ar/lu/luLandDet.jsp?pnu=4311331023200600026&amp;isNoScr=script&amp;mode=search", "토지이음")</f>
        <v/>
      </c>
      <c r="O134" s="3" t="inlineStr">
        <is>
          <t>보석</t>
        </is>
      </c>
      <c r="P134" s="4" t="n">
        <v>1</v>
      </c>
      <c r="Q134" s="4" t="n">
        <v>552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252-2</t>
        </is>
      </c>
      <c r="B138" s="3" t="inlineStr">
        <is>
          <t>생산녹지지역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76000</v>
      </c>
      <c r="G138" s="4" t="n">
        <v>2529</v>
      </c>
      <c r="H138" s="4" t="n">
        <v>765</v>
      </c>
      <c r="I138" s="5" t="n">
        <v>99.3</v>
      </c>
      <c r="J138" s="5" t="n">
        <v>22</v>
      </c>
      <c r="K138" s="3" t="inlineStr">
        <is>
          <t>돔구장, 역 등 강내 오송 개발 호재 , 주말 농장 가능, 투자용 추천</t>
        </is>
      </c>
      <c r="L138" s="6">
        <f>HYPERLINK("https://fin.land.naver.com/articles/2656115017", "매물Link")</f>
        <v/>
      </c>
      <c r="M138" s="6">
        <f>HYPERLINK("https://map.naver.com/p/search/강내면 탑연리 252-2", "지도Link")</f>
        <v/>
      </c>
      <c r="N138" s="6">
        <f>HYPERLINK("http://www.eum.go.kr/web/ar/lu/luLandDet.jsp?pnu=4311331031102520002&amp;isNoScr=script&amp;mode=search", "토지이음")</f>
        <v/>
      </c>
      <c r="O138" s="3" t="inlineStr">
        <is>
          <t>현담</t>
        </is>
      </c>
      <c r="P138" s="4" t="n">
        <v>1</v>
      </c>
      <c r="Q138" s="4" t="n">
        <v>2529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HYPERLINK("https://fin.land.naver.com/articles/2651478715",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HYPERLINK("https://fin.land.naver.com/articles/2651128763",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208500</v>
      </c>
      <c r="G145" s="4" t="n">
        <v>2298</v>
      </c>
      <c r="H145" s="4" t="n">
        <v>695</v>
      </c>
      <c r="I145" s="5" t="n">
        <v>300</v>
      </c>
      <c r="J145" s="5" t="n">
        <v>135.4</v>
      </c>
      <c r="K145" s="3" t="inlineStr">
        <is>
          <t>자동차 써비스관련 시설등 하기 좋은 땅</t>
        </is>
      </c>
      <c r="L145" s="6">
        <f>HYPERLINK("https://fin.land.naver.com/articles/2654358551",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태성리 121-2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330000</v>
      </c>
      <c r="G146" s="4" t="n">
        <v>7300</v>
      </c>
      <c r="H146" s="4" t="n">
        <v>2208</v>
      </c>
      <c r="I146" s="5" t="n">
        <v>149.5</v>
      </c>
      <c r="J146" s="5" t="n">
        <v>72.2</v>
      </c>
      <c r="K146" s="3" t="inlineStr">
        <is>
          <t>2차선도로접 현재 차고지 사용중</t>
        </is>
      </c>
      <c r="L146" s="6">
        <f>HYPERLINK("https://fin.land.naver.com/articles/2652176994", "매물Link")</f>
        <v/>
      </c>
      <c r="M146" s="6">
        <f>HYPERLINK("https://map.naver.com/p/search/강내면 태성리 121-2", "지도Link")</f>
        <v/>
      </c>
      <c r="N146" s="6">
        <f>HYPERLINK("http://www.eum.go.kr/web/ar/lu/luLandDet.jsp?pnu=4311331027101210002&amp;isNoScr=script&amp;mode=search", "토지이음")</f>
        <v/>
      </c>
      <c r="O146" s="3" t="inlineStr">
        <is>
          <t>플러스태양</t>
        </is>
      </c>
      <c r="P146" s="4" t="n">
        <v>1</v>
      </c>
      <c r="Q146" s="4" t="n">
        <v>1805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131-1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112200</v>
      </c>
      <c r="G147" s="4" t="n">
        <v>2474</v>
      </c>
      <c r="H147" s="4" t="n">
        <v>748</v>
      </c>
      <c r="I147" s="5" t="n">
        <v>150</v>
      </c>
      <c r="J147" s="5" t="n">
        <v>57.1</v>
      </c>
      <c r="K147" s="3" t="inlineStr">
        <is>
          <t>10m 도로에 인접한 공장, 창고 부지, 청주하이테크벨리 산업단지 인근</t>
        </is>
      </c>
      <c r="L147" s="6">
        <f>HYPERLINK("https://fin.land.naver.com/articles/2655684585", "매물Link")</f>
        <v/>
      </c>
      <c r="M147" s="6">
        <f>HYPERLINK("https://map.naver.com/p/search/강내면 태성리 131-1", "지도Link")</f>
        <v/>
      </c>
      <c r="N147" s="6">
        <f>HYPERLINK("http://www.eum.go.kr/web/ar/lu/luLandDet.jsp?pnu=4311331027101310001&amp;isNoScr=script&amp;mode=search", "토지이음")</f>
        <v/>
      </c>
      <c r="O147" s="3" t="inlineStr">
        <is>
          <t>테크노비타사사무소</t>
        </is>
      </c>
      <c r="P147" s="4" t="n">
        <v>1</v>
      </c>
      <c r="Q147" s="4" t="n">
        <v>2474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142-2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매매</t>
        </is>
      </c>
      <c r="F148" s="4" t="n">
        <v>80000</v>
      </c>
      <c r="G148" s="4" t="n">
        <v>1325</v>
      </c>
      <c r="H148" s="4" t="n">
        <v>401</v>
      </c>
      <c r="I148" s="5" t="n">
        <v>199.5</v>
      </c>
      <c r="J148" s="5" t="n">
        <v>67</v>
      </c>
      <c r="K148" s="3" t="inlineStr">
        <is>
          <t>강내 하이테크밸리 산단 연접 공장용지 매매</t>
        </is>
      </c>
      <c r="L148" s="6">
        <f>HYPERLINK("https://fin.land.naver.com/articles/2655758186", "매물Link")</f>
        <v/>
      </c>
      <c r="M148" s="6">
        <f>HYPERLINK("https://map.naver.com/p/search/강내면 태성리 142-2", "지도Link")</f>
        <v/>
      </c>
      <c r="N148" s="6">
        <f>HYPERLINK("http://www.eum.go.kr/web/ar/lu/luLandDet.jsp?pnu=4311331027101420002&amp;isNoScr=script&amp;mode=search", "토지이음")</f>
        <v/>
      </c>
      <c r="O148" s="3" t="inlineStr">
        <is>
          <t>광장</t>
        </is>
      </c>
      <c r="P148" s="4" t="n">
        <v>1</v>
      </c>
      <c r="Q148" s="4" t="n">
        <v>1325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HYPERLINK("https://fin.land.naver.com/articles/2652625500",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HYPERLINK("https://fin.land.naver.com/articles/2653129196",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HYPERLINK("https://fin.land.naver.com/articles/2652940857",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95000</v>
      </c>
      <c r="G152" s="4" t="n">
        <v>2085</v>
      </c>
      <c r="H152" s="4" t="n">
        <v>631</v>
      </c>
      <c r="I152" s="5" t="n">
        <v>150.6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HYPERLINK("https://fin.land.naver.com/articles/2654631134",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323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270000</v>
      </c>
      <c r="G153" s="4" t="n">
        <v>4478</v>
      </c>
      <c r="H153" s="4" t="n">
        <v>1355</v>
      </c>
      <c r="I153" s="5" t="n">
        <v>199.3</v>
      </c>
      <c r="J153" s="5" t="n">
        <v>33.9</v>
      </c>
      <c r="K153" s="3" t="inlineStr">
        <is>
          <t>nan</t>
        </is>
      </c>
      <c r="L153" s="6">
        <f>HYPERLINK("https://fin.land.naver.com/articles/2651272503", "매물Link")</f>
        <v/>
      </c>
      <c r="M153" s="6">
        <f>HYPERLINK("https://map.naver.com/p/search/강내면 태성리 323", "지도Link")</f>
        <v/>
      </c>
      <c r="N153" s="6">
        <f>HYPERLINK("http://www.eum.go.kr/web/ar/lu/luLandDet.jsp?pnu=4311331027103230000&amp;isNoScr=script&amp;mode=search", "토지이음")</f>
        <v/>
      </c>
      <c r="O153" s="3" t="inlineStr">
        <is>
          <t>오송퍼스트영웅</t>
        </is>
      </c>
      <c r="P153" s="4" t="n">
        <v>1</v>
      </c>
      <c r="Q153" s="4" t="n">
        <v>4478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HYPERLINK("https://fin.land.naver.com/articles/2655559659",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3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74000</v>
      </c>
      <c r="G155" s="4" t="n">
        <v>1623</v>
      </c>
      <c r="H155" s="4" t="n">
        <v>491</v>
      </c>
      <c r="I155" s="5" t="n">
        <v>150.7</v>
      </c>
      <c r="J155" s="5" t="n">
        <v>39.1</v>
      </c>
      <c r="K155" s="3" t="inlineStr">
        <is>
          <t>폭3㎡이상의 포장도로가 부지와 맞물려 있음,남향으로 전원주택지.사무실,창</t>
        </is>
      </c>
      <c r="L155" s="6">
        <f>HYPERLINK("https://fin.land.naver.com/articles/2656251664",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대한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계획관리지역, 성장관리계획구역, 근처는 대지, 옆에 전원주택지</t>
        </is>
      </c>
      <c r="L156" s="6">
        <f>HYPERLINK("https://fin.land.naver.com/articles/2653856468",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금백</t>
        </is>
      </c>
      <c r="P156" s="4" t="n">
        <v>1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85000</v>
      </c>
      <c r="G157" s="4" t="n">
        <v>1871</v>
      </c>
      <c r="H157" s="4" t="n">
        <v>566</v>
      </c>
      <c r="I157" s="5" t="n">
        <v>150.2</v>
      </c>
      <c r="J157" s="5" t="n">
        <v>36.3</v>
      </c>
      <c r="K157" s="3" t="inlineStr">
        <is>
          <t>계획관리지역 내 토지매매</t>
        </is>
      </c>
      <c r="L157" s="6">
        <f>HYPERLINK("https://fin.land.naver.com/articles/2651254455",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럭키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454</t>
        </is>
      </c>
      <c r="B158" s="3" t="inlineStr">
        <is>
          <t>농림지역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55000</v>
      </c>
      <c r="G158" s="4" t="n">
        <v>3495</v>
      </c>
      <c r="H158" s="4" t="n">
        <v>1057</v>
      </c>
      <c r="I158" s="5" t="n">
        <v>52</v>
      </c>
      <c r="J158" s="5" t="n">
        <v>14.6</v>
      </c>
      <c r="K158" s="3" t="inlineStr">
        <is>
          <t>가로장방형으로 경지정리된 답, 2면 도로 농로접합</t>
        </is>
      </c>
      <c r="L158" s="6">
        <f>HYPERLINK("https://fin.land.naver.com/articles/2655490355", "매물Link")</f>
        <v/>
      </c>
      <c r="M158" s="6">
        <f>HYPERLINK("https://map.naver.com/p/search/강내면 태성리 454", "지도Link")</f>
        <v/>
      </c>
      <c r="N158" s="6">
        <f>HYPERLINK("http://www.eum.go.kr/web/ar/lu/luLandDet.jsp?pnu=4311331027104540000&amp;isNoScr=script&amp;mode=search", "토지이음")</f>
        <v/>
      </c>
      <c r="O158" s="3" t="inlineStr">
        <is>
          <t>행복한마을</t>
        </is>
      </c>
      <c r="P158" s="4" t="n">
        <v>1</v>
      </c>
      <c r="Q158" s="4" t="n">
        <v>3495.7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세로각지(가)</t>
        </is>
      </c>
    </row>
    <row r="159">
      <c r="A159" s="3" t="inlineStr">
        <is>
          <t>강내면 태성리 산29-1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59100</v>
      </c>
      <c r="G159" s="4" t="n">
        <v>1303</v>
      </c>
      <c r="H159" s="4" t="n">
        <v>394</v>
      </c>
      <c r="I159" s="5" t="n">
        <v>150</v>
      </c>
      <c r="J159" s="5" t="n">
        <v>8.5</v>
      </c>
      <c r="K159" s="3" t="inlineStr">
        <is>
          <t>4차선도접 공장허가득 토목완료</t>
        </is>
      </c>
      <c r="L159" s="6">
        <f>HYPERLINK("https://fin.land.naver.com/articles/2654694126", "매물Link")</f>
        <v/>
      </c>
      <c r="M159" s="6">
        <f>HYPERLINK("https://map.naver.com/p/search/강내면 태성리 산29-1", "지도Link")</f>
        <v/>
      </c>
      <c r="N159" s="6">
        <f>HYPERLINK("http://www.eum.go.kr/web/ar/lu/luLandDet.jsp?pnu=4311331027200290001&amp;isNoScr=script&amp;mode=search",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1227</v>
      </c>
      <c r="R159" s="3" t="inlineStr">
        <is>
          <t>지정되지않음</t>
        </is>
      </c>
      <c r="S159" s="3" t="inlineStr">
        <is>
          <t>도로등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태성리 산29-11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19000</v>
      </c>
      <c r="G160" s="4" t="n">
        <v>631</v>
      </c>
      <c r="H160" s="4" t="n">
        <v>191</v>
      </c>
      <c r="I160" s="5" t="n">
        <v>99.5</v>
      </c>
      <c r="J160" s="5" t="n">
        <v>5.6</v>
      </c>
      <c r="K160" s="3" t="inlineStr">
        <is>
          <t>청주시 강내면 태성사거리 가까운 곳에 있는 공장 창고부지</t>
        </is>
      </c>
      <c r="L160" s="6">
        <f>HYPERLINK("https://fin.land.naver.com/articles/2653497978", "매물Link")</f>
        <v/>
      </c>
      <c r="M160" s="6">
        <f>HYPERLINK("https://map.naver.com/p/search/강내면 태성리 산29-11", "지도Link")</f>
        <v/>
      </c>
      <c r="N160" s="6">
        <f>HYPERLINK("http://www.eum.go.kr/web/ar/lu/luLandDet.jsp?pnu=4311331027200290011&amp;isNoScr=script&amp;mode=search", "토지이음")</f>
        <v/>
      </c>
      <c r="O160" s="3" t="inlineStr">
        <is>
          <t>청주114</t>
        </is>
      </c>
      <c r="P160" s="4" t="n">
        <v>2</v>
      </c>
      <c r="Q160" s="4" t="n">
        <v>631</v>
      </c>
      <c r="R160" s="3" t="inlineStr">
        <is>
          <t>지정되지않음</t>
        </is>
      </c>
      <c r="S160" s="3" t="inlineStr">
        <is>
          <t>토지임야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HYPERLINK("https://fin.land.naver.com/articles/2653371592",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1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480000</v>
      </c>
      <c r="G162" s="4" t="n">
        <v>15977</v>
      </c>
      <c r="H162" s="4" t="n">
        <v>4833</v>
      </c>
      <c r="I162" s="5" t="n">
        <v>99.3</v>
      </c>
      <c r="J162" s="5" t="n">
        <v>4.1</v>
      </c>
      <c r="K162" s="3" t="inlineStr">
        <is>
          <t>8M 도로접 공장지대 민원소지 없음</t>
        </is>
      </c>
      <c r="L162" s="6">
        <f>HYPERLINK("https://fin.land.naver.com/articles/2654693741",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30000</v>
      </c>
      <c r="G163" s="4" t="n">
        <v>2790</v>
      </c>
      <c r="H163" s="4" t="n">
        <v>844</v>
      </c>
      <c r="I163" s="5" t="n">
        <v>35.5</v>
      </c>
      <c r="J163" s="5" t="n">
        <v>16.4</v>
      </c>
      <c r="K163" s="3" t="inlineStr">
        <is>
          <t>진입로 있는 지목 답 자연녹지지역</t>
        </is>
      </c>
      <c r="L163" s="6">
        <f>HYPERLINK("https://fin.land.naver.com/articles/2651727712", "매물Link")</f>
        <v/>
      </c>
      <c r="M163" s="6">
        <f>HYPERLINK("https://map.naver.com/p/search/강내면 학천리 19", "지도Link")</f>
        <v/>
      </c>
      <c r="N163" s="6">
        <f>HYPERLINK("http://www.eum.go.kr/web/ar/lu/luLandDet.jsp?pnu=4311331035100190000&amp;isNoScr=script&amp;mode=search", "토지이음")</f>
        <v/>
      </c>
      <c r="O163" s="3" t="inlineStr">
        <is>
          <t>해모로더센트라</t>
        </is>
      </c>
      <c r="P163" s="4" t="n">
        <v>1</v>
      </c>
      <c r="Q163" s="4" t="n">
        <v>2790</v>
      </c>
      <c r="R163" s="3" t="inlineStr">
        <is>
          <t>보전녹지지역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학천리 198-3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67000</v>
      </c>
      <c r="G164" s="4" t="n">
        <v>2463</v>
      </c>
      <c r="H164" s="4" t="n">
        <v>745</v>
      </c>
      <c r="I164" s="5" t="n">
        <v>89.90000000000001</v>
      </c>
      <c r="J164" s="5" t="n">
        <v>42.4</v>
      </c>
      <c r="K164" s="3" t="inlineStr">
        <is>
          <t>쿠팡물류창고 바로 인접 4M도로접</t>
        </is>
      </c>
      <c r="L164" s="6">
        <f>HYPERLINK("https://fin.land.naver.com/articles/2653619236", "매물Link")</f>
        <v/>
      </c>
      <c r="M164" s="6">
        <f>HYPERLINK("https://map.naver.com/p/search/강내면 학천리 198-3", "지도Link")</f>
        <v/>
      </c>
      <c r="N164" s="6">
        <f>HYPERLINK("http://www.eum.go.kr/web/ar/lu/luLandDet.jsp?pnu=4311331035101980003&amp;isNoScr=script&amp;mode=search",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999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세로한면(불)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상가인근 토지</t>
        </is>
      </c>
      <c r="L181" s="6">
        <f>HYPERLINK("https://fin.land.naver.com/articles/2654716356",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2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nan</t>
        </is>
      </c>
      <c r="L185" s="6">
        <f>HYPERLINK("https://fin.land.naver.com/articles/2651032769",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디아트성심</t>
        </is>
      </c>
      <c r="P185" s="4" t="n">
        <v>1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HYPERLINK("https://fin.land.naver.com/articles/2656265179",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HYPERLINK("https://fin.land.naver.com/articles/2651189122",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필지 뒷편이 공원, 가락초,두루고와 근접, 아파트 단지상가와 가까움</t>
        </is>
      </c>
      <c r="L198" s="6">
        <f>HYPERLINK("https://fin.land.naver.com/articles/2654473718",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국제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HYPERLINK("https://fin.land.naver.com/articles/2652006650",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HYPERLINK("https://fin.land.naver.com/articles/2651778717",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HYPERLINK("https://fin.land.naver.com/articles/2655984096",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HYPERLINK("https://fin.land.naver.com/articles/2654977807",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109.6p, 유.초등학교인근, 고등학교 인근</t>
        </is>
      </c>
      <c r="L209" s="6">
        <f>HYPERLINK("https://fin.land.naver.com/articles/2654692049",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HYPERLINK("https://fin.land.naver.com/articles/2654892918",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HYPERLINK("https://fin.land.naver.com/articles/2651776855",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344</v>
      </c>
      <c r="H215" s="4" t="n">
        <v>104</v>
      </c>
      <c r="I215" s="5" t="n">
        <v>500</v>
      </c>
      <c r="J215" s="5" t="n">
        <v>304.8</v>
      </c>
      <c r="K215" s="3" t="inlineStr">
        <is>
          <t>두루고등학교앞 단독주택지 최선을다해서 가격조정해보겠습니다.</t>
        </is>
      </c>
      <c r="L215" s="6">
        <f>HYPERLINK("https://fin.land.naver.com/articles/2655533677",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고운동리치세종</t>
        </is>
      </c>
      <c r="P215" s="4" t="n">
        <v>4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HYPERLINK("https://fin.land.naver.com/articles/2653378922",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상가근접한 입지좋은택지,</t>
        </is>
      </c>
      <c r="L219" s="6">
        <f>HYPERLINK("https://fin.land.naver.com/articles/2653085815",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세종황소</t>
        </is>
      </c>
      <c r="P219" s="4" t="n">
        <v>2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HYPERLINK("https://fin.land.naver.com/articles/2654826170",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HYPERLINK("https://fin.land.naver.com/articles/2652931210",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HYPERLINK("https://fin.land.naver.com/articles/2656223538",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HYPERLINK("https://fin.land.naver.com/articles/2655191864",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2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HYPERLINK("https://fin.land.naver.com/articles/2651948549",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HYPERLINK("https://fin.land.naver.com/articles/2650893334",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HYPERLINK("https://fin.land.naver.com/articles/2654926133",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HYPERLINK("https://fin.land.naver.com/articles/2654857904",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HYPERLINK("https://fin.land.naver.com/articles/2654928943",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106.3p, 실개천 앞, 공원인근</t>
        </is>
      </c>
      <c r="L232" s="6">
        <f>HYPERLINK("https://fin.land.naver.com/articles/2656264013",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1306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68000</v>
      </c>
      <c r="G233" s="4" t="n">
        <v>351</v>
      </c>
      <c r="H233" s="4" t="n">
        <v>106</v>
      </c>
      <c r="I233" s="5" t="n">
        <v>641.5</v>
      </c>
      <c r="J233" s="5" t="n">
        <v>336.5</v>
      </c>
      <c r="K233" s="3" t="inlineStr">
        <is>
          <t>최선호 실개천 주택지 공원 넓게접함</t>
        </is>
      </c>
      <c r="L233" s="6">
        <f>HYPERLINK("https://fin.land.naver.com/articles/2654332417", "매물Link")</f>
        <v/>
      </c>
      <c r="M233" s="6">
        <f>HYPERLINK("https://map.naver.com/p/search/고운동 1306", "지도Link")</f>
        <v/>
      </c>
      <c r="N233" s="6">
        <f>HYPERLINK("http://www.eum.go.kr/web/ar/lu/luLandDet.jsp?pnu=3611011200113060000&amp;isNoScr=script&amp;mode=search",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위치좋은단독택지 공원옆 실개천옆이용 학군상권이용하기편리</t>
        </is>
      </c>
      <c r="L234" s="6">
        <f>HYPERLINK("https://fin.land.naver.com/articles/2651999218",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HYPERLINK("https://fin.land.naver.com/articles/2654705090",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HYPERLINK("https://fin.land.naver.com/articles/2655487552",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공원과 실개천 품은 코너 입지 I 초등 고등학교 인근 단독주택용</t>
        </is>
      </c>
      <c r="L240" s="6">
        <f>HYPERLINK("https://fin.land.naver.com/articles/2655731957",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HYPERLINK("https://fin.land.naver.com/articles/2655654219",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HYPERLINK("https://fin.land.naver.com/articles/2653686910",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106.8p, 실개천 근처, 위치 좋은 토지, 공원 인근</t>
        </is>
      </c>
      <c r="L243" s="6">
        <f>HYPERLINK("https://fin.land.naver.com/articles/2650893554",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1330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336</v>
      </c>
      <c r="H244" s="4" t="n">
        <v>102</v>
      </c>
      <c r="I244" s="5" t="n">
        <v>588.2</v>
      </c>
      <c r="J244" s="5" t="n">
        <v>336.5</v>
      </c>
      <c r="K244" s="3" t="inlineStr">
        <is>
          <t>햇빛 잘 들고 학교, 상가 가까워 생활 편리, 조율 가능</t>
        </is>
      </c>
      <c r="L244" s="6">
        <f>HYPERLINK("https://fin.land.naver.com/articles/2651034506", "매물Link")</f>
        <v/>
      </c>
      <c r="M244" s="6">
        <f>HYPERLINK("https://map.naver.com/p/search/고운동 1330", "지도Link")</f>
        <v/>
      </c>
      <c r="N244" s="6">
        <f>HYPERLINK("http://www.eum.go.kr/web/ar/lu/luLandDet.jsp?pnu=3611011200113300000&amp;isNoScr=script&amp;mode=search",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336.7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nan</t>
        </is>
      </c>
      <c r="L245" s="6">
        <f>HYPERLINK("https://fin.land.naver.com/articles/2651034907",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디아트성심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귀한 코너 택지 I 가락초 고운뜰공원 인접 프리미엄 단독주택 용지</t>
        </is>
      </c>
      <c r="L246" s="6">
        <f>HYPERLINK("https://fin.land.naver.com/articles/2655730492",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세종신한</t>
        </is>
      </c>
      <c r="P246" s="4" t="n">
        <v>2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HYPERLINK("https://fin.land.naver.com/articles/2655653218",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43000</v>
      </c>
      <c r="G248" s="4" t="n">
        <v>329</v>
      </c>
      <c r="H248" s="4" t="n">
        <v>100</v>
      </c>
      <c r="I248" s="5" t="n">
        <v>430</v>
      </c>
      <c r="J248" s="5" t="n">
        <v>336.5</v>
      </c>
      <c r="K248" s="3" t="inlineStr">
        <is>
          <t>급매 실개천 가락초 인근</t>
        </is>
      </c>
      <c r="L248" s="6">
        <f>HYPERLINK("https://fin.land.naver.com/articles/2656215297", "매물Link")</f>
        <v/>
      </c>
      <c r="M248" s="6">
        <f>HYPERLINK("https://map.naver.com/p/search/고운동 1334", "지도Link")</f>
        <v/>
      </c>
      <c r="N248" s="6">
        <f>HYPERLINK("http://www.eum.go.kr/web/ar/lu/luLandDet.jsp?pnu=3611011200113340000&amp;isNoScr=script&amp;mode=search",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329.7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HYPERLINK("https://fin.land.naver.com/articles/2655653908",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주택에 정원 설계가 용이한 토지 모양, 편의시설 가까워 생활편리</t>
        </is>
      </c>
      <c r="L251" s="6">
        <f>HYPERLINK("https://fin.land.naver.com/articles/2655654749",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HYPERLINK("https://fin.land.naver.com/articles/2653682023",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1433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334</v>
      </c>
      <c r="H253" s="4" t="n">
        <v>101</v>
      </c>
      <c r="I253" s="5" t="n">
        <v>643.6</v>
      </c>
      <c r="J253" s="5" t="n">
        <v>334.9</v>
      </c>
      <c r="K253" s="3" t="inlineStr">
        <is>
          <t>nan</t>
        </is>
      </c>
      <c r="L253" s="6">
        <f>HYPERLINK("https://fin.land.naver.com/articles/2656123029", "매물Link")</f>
        <v/>
      </c>
      <c r="M253" s="6">
        <f>HYPERLINK("https://map.naver.com/p/search/고운동 1433", "지도Link")</f>
        <v/>
      </c>
      <c r="N253" s="6">
        <f>HYPERLINK("http://www.eum.go.kr/web/ar/lu/luLandDet.jsp?pnu=3611011200114330000&amp;isNoScr=script&amp;mode=search",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1462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358</v>
      </c>
      <c r="H254" s="4" t="n">
        <v>108</v>
      </c>
      <c r="I254" s="5" t="n">
        <v>555.6</v>
      </c>
      <c r="J254" s="5" t="n">
        <v>334.9</v>
      </c>
      <c r="K254" s="3" t="inlineStr">
        <is>
          <t>조율가능 넓은평수 지대높음</t>
        </is>
      </c>
      <c r="L254" s="6">
        <f>HYPERLINK("https://fin.land.naver.com/articles/2654633170", "매물Link")</f>
        <v/>
      </c>
      <c r="M254" s="6">
        <f>HYPERLINK("https://map.naver.com/p/search/고운동 1462", "지도Link")</f>
        <v/>
      </c>
      <c r="N254" s="6">
        <f>HYPERLINK("http://www.eum.go.kr/web/ar/lu/luLandDet.jsp?pnu=3611011200114620000&amp;isNoScr=script&amp;mode=search",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358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69000</v>
      </c>
      <c r="G255" s="4" t="n">
        <v>356</v>
      </c>
      <c r="H255" s="4" t="n">
        <v>108</v>
      </c>
      <c r="I255" s="5" t="n">
        <v>638.9</v>
      </c>
      <c r="J255" s="5" t="n">
        <v>334.9</v>
      </c>
      <c r="K255" s="3" t="inlineStr">
        <is>
          <t>고운동 단독주택지 저렴한 매물</t>
        </is>
      </c>
      <c r="L255" s="6">
        <f>HYPERLINK("https://fin.land.naver.com/articles/2654240406", "매물Link")</f>
        <v/>
      </c>
      <c r="M255" s="6">
        <f>HYPERLINK("https://map.naver.com/p/search/고운동 1463", "지도Link")</f>
        <v/>
      </c>
      <c r="N255" s="6">
        <f>HYPERLINK("http://www.eum.go.kr/web/ar/lu/luLandDet.jsp?pnu=3611011200114630000&amp;isNoScr=script&amp;mode=search", "토지이음")</f>
        <v/>
      </c>
      <c r="O255" s="3" t="inlineStr">
        <is>
          <t>명품시티</t>
        </is>
      </c>
      <c r="P255" s="4" t="n">
        <v>1</v>
      </c>
      <c r="Q255" s="4" t="n">
        <v>356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357</v>
      </c>
      <c r="H256" s="4" t="n">
        <v>108</v>
      </c>
      <c r="I256" s="5" t="n">
        <v>555.6</v>
      </c>
      <c r="J256" s="5" t="n">
        <v>334.9</v>
      </c>
      <c r="K256" s="3" t="inlineStr">
        <is>
          <t>급매 우측시유지 넓은접함 조율가능</t>
        </is>
      </c>
      <c r="L256" s="6">
        <f>HYPERLINK("https://fin.land.naver.com/articles/2651088249", "매물Link")</f>
        <v/>
      </c>
      <c r="M256" s="6">
        <f>HYPERLINK("https://map.naver.com/p/search/고운동 1464", "지도Link")</f>
        <v/>
      </c>
      <c r="N256" s="6">
        <f>HYPERLINK("http://www.eum.go.kr/web/ar/lu/luLandDet.jsp?pnu=3611011200114640000&amp;isNoScr=script&amp;mode=search",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61000</v>
      </c>
      <c r="G257" s="4" t="n">
        <v>357</v>
      </c>
      <c r="H257" s="4" t="n">
        <v>108</v>
      </c>
      <c r="I257" s="5" t="n">
        <v>564.8</v>
      </c>
      <c r="J257" s="5" t="n">
        <v>334.9</v>
      </c>
      <c r="K257" s="3" t="inlineStr">
        <is>
          <t>향후 투자수익 목적등 모두를 이룰 세종시 길가 주택입니다</t>
        </is>
      </c>
      <c r="L257" s="6">
        <f>HYPERLINK("https://fin.land.naver.com/articles/2653370340",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럭키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HYPERLINK("https://fin.land.naver.com/articles/2655112325",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HYPERLINK("https://fin.land.naver.com/articles/2655573760",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110000</v>
      </c>
      <c r="G260" s="4" t="n">
        <v>361</v>
      </c>
      <c r="H260" s="4" t="n">
        <v>109</v>
      </c>
      <c r="I260" s="5" t="n">
        <v>1009.2</v>
      </c>
      <c r="J260" s="5" t="n">
        <v>771.9</v>
      </c>
      <c r="K260" s="3" t="inlineStr">
        <is>
          <t>대로변 근생부지 매매</t>
        </is>
      </c>
      <c r="L260" s="6">
        <f>HYPERLINK("https://fin.land.naver.com/articles/2651891397",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창고의여왕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HYPERLINK("https://fin.land.naver.com/articles/2654556399",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HYPERLINK("https://fin.land.naver.com/articles/2652843053",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HYPERLINK("https://fin.land.naver.com/articles/2654928258",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HYPERLINK("https://fin.land.naver.com/articles/2651035209",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HYPERLINK("https://fin.land.naver.com/articles/2656276902",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HYPERLINK("https://fin.land.naver.com/articles/2654578032",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342</v>
      </c>
      <c r="H269" s="4" t="n">
        <v>103</v>
      </c>
      <c r="I269" s="5" t="n">
        <v>582.5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HYPERLINK("https://fin.land.naver.com/articles/2656275776",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49000</v>
      </c>
      <c r="G273" s="4" t="n">
        <v>393</v>
      </c>
      <c r="H273" s="4" t="n">
        <v>119</v>
      </c>
      <c r="I273" s="5" t="n">
        <v>411.8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HYPERLINK("https://fin.land.naver.com/articles/2655111601",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2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HYPERLINK("https://fin.land.naver.com/articles/2654849789",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HYPERLINK("https://fin.land.naver.com/articles/2656250474",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HYPERLINK("https://fin.land.naver.com/articles/2656268860",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170000</v>
      </c>
      <c r="G278" s="4" t="n">
        <v>391</v>
      </c>
      <c r="H278" s="4" t="n">
        <v>118</v>
      </c>
      <c r="I278" s="5" t="n">
        <v>1440.7</v>
      </c>
      <c r="J278" s="5" t="n">
        <v>802.6</v>
      </c>
      <c r="K278" s="3" t="inlineStr">
        <is>
          <t>광고 효과 코너 근생 I 자동차 썬팅,세차,음식점,카페,애견샵 추</t>
        </is>
      </c>
      <c r="L278" s="6">
        <f>HYPERLINK("https://fin.land.naver.com/articles/2655852093",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HYPERLINK("https://fin.land.naver.com/articles/2654891477",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HYPERLINK("https://fin.land.naver.com/articles/2654835083",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HYPERLINK("https://fin.land.naver.com/articles/2654856650",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345</v>
      </c>
      <c r="H285" s="4" t="n">
        <v>104</v>
      </c>
      <c r="I285" s="5" t="n">
        <v>548.1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HYPERLINK("https://fin.land.naver.com/articles/2651087896",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HYPERLINK("https://fin.land.naver.com/articles/2654888011",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희소성 높은 코너 택지 I 일조권과 개방감 좋은 택</t>
        </is>
      </c>
      <c r="L287" s="6">
        <f>HYPERLINK("https://fin.land.naver.com/articles/2655729047",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세종신한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HYPERLINK("https://fin.land.naver.com/articles/2656412023",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HYPERLINK("https://fin.land.naver.com/articles/2652951847",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세종보물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334</v>
      </c>
      <c r="H290" s="4" t="n">
        <v>101</v>
      </c>
      <c r="I290" s="5" t="n">
        <v>564.4</v>
      </c>
      <c r="J290" s="5" t="n">
        <v>297.1</v>
      </c>
      <c r="K290" s="3" t="inlineStr">
        <is>
          <t>급매 조율가능 고운초중 도보3분 학원상권 복컴 도보5분</t>
        </is>
      </c>
      <c r="L290" s="6">
        <f>HYPERLINK("https://fin.land.naver.com/articles/2654855812",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HYPERLINK("https://fin.land.naver.com/articles/2652885247",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HYPERLINK("https://fin.land.naver.com/articles/2656282920",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HYPERLINK("https://fin.land.naver.com/articles/2652917967",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HYPERLINK("https://fin.land.naver.com/articles/2656213807",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HYPERLINK("https://fin.land.naver.com/articles/2654120394",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HYPERLINK("https://fin.land.naver.com/articles/2655740996",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HYPERLINK("https://fin.land.naver.com/articles/2652888518",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코너 급매, 초중교 인접, 생활편의시설 다양함, 대중교통 편리함</t>
        </is>
      </c>
      <c r="L299" s="6">
        <f>HYPERLINK("https://fin.land.naver.com/articles/2654967120",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백프로</t>
        </is>
      </c>
      <c r="P299" s="4" t="n">
        <v>2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HYPERLINK("https://fin.land.naver.com/articles/2655653082",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HYPERLINK("https://fin.land.naver.com/articles/2650851183",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HYPERLINK("https://fin.land.naver.com/articles/2656282006",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1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HYPERLINK("https://fin.land.naver.com/articles/2655726750",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HYPERLINK("https://fin.land.naver.com/articles/2651087463",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62000</v>
      </c>
      <c r="G305" s="4" t="n">
        <v>390</v>
      </c>
      <c r="H305" s="4" t="n">
        <v>118</v>
      </c>
      <c r="I305" s="5" t="n">
        <v>525.4</v>
      </c>
      <c r="J305" s="5" t="n">
        <v>297.2</v>
      </c>
      <c r="K305" s="3" t="inlineStr">
        <is>
          <t>가격내림. 위치 좋은 큰 면적 단독주택지 매매</t>
        </is>
      </c>
      <c r="L305" s="6">
        <f>HYPERLINK("https://fin.land.naver.com/articles/2652599829",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HYPERLINK("https://fin.land.naver.com/articles/2651984559",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HYPERLINK("https://fin.land.naver.com/articles/2656276302",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101920</v>
      </c>
      <c r="G308" s="4" t="n">
        <v>345</v>
      </c>
      <c r="H308" s="4" t="n">
        <v>104</v>
      </c>
      <c r="I308" s="5" t="n">
        <v>980</v>
      </c>
      <c r="J308" s="5" t="n">
        <v>297.2</v>
      </c>
      <c r="K308" s="3" t="inlineStr">
        <is>
          <t>고운동 1종 전용주거지역 단독주택지 매매,정남향,뻥뷰</t>
        </is>
      </c>
      <c r="L308" s="6">
        <f>HYPERLINK("https://fin.land.naver.com/articles/2651616970",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천재원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HYPERLINK("https://fin.land.naver.com/articles/2656122918",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HYPERLINK("https://fin.land.naver.com/articles/2655853654",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HYPERLINK("http://www.eum.go.kr/web/ar/lu/luLandDet.jsp?pnu=3611011200120520000&amp;isNoScr=script&amp;mode=search",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세종시립도서관 인근에 위치한 대로변에 접한 위치좋은 대지 입니다.</t>
        </is>
      </c>
      <c r="L313" s="6">
        <f>HYPERLINK("https://fin.land.naver.com/articles/2655515337",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가람</t>
        </is>
      </c>
      <c r="P313" s="4" t="n">
        <v>5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HYPERLINK("https://fin.land.naver.com/articles/2652471199",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세종보물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HYPERLINK("https://fin.land.naver.com/articles/2656242858",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HYPERLINK("https://fin.land.naver.com/articles/2654717654",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HYPERLINK("https://fin.land.naver.com/articles/2650891002",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총 120.9p, 파크힐즈 단독주택 토지, 네모반듯</t>
        </is>
      </c>
      <c r="L321" s="6">
        <f>HYPERLINK("https://fin.land.naver.com/articles/2654220921",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HYPERLINK("https://fin.land.naver.com/articles/2655366970",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HYPERLINK("https://fin.land.naver.com/articles/2656122841",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HYPERLINK("https://fin.land.naver.com/articles/2656122818",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2106-29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75000</v>
      </c>
      <c r="G326" s="4" t="n">
        <v>380</v>
      </c>
      <c r="H326" s="4" t="n">
        <v>115</v>
      </c>
      <c r="I326" s="5" t="n">
        <v>652.2</v>
      </c>
      <c r="J326" s="5" t="n">
        <v>282.1</v>
      </c>
      <c r="K326" s="3" t="inlineStr">
        <is>
          <t>급매 파크힐스 115p 로얄 입지</t>
        </is>
      </c>
      <c r="L326" s="6">
        <f>HYPERLINK("https://fin.land.naver.com/articles/2655256360", "매물Link")</f>
        <v/>
      </c>
      <c r="M326" s="6">
        <f>HYPERLINK("https://map.naver.com/p/search/고운동 2106-29", "지도Link")</f>
        <v/>
      </c>
      <c r="N326" s="6">
        <f>HYPERLINK("http://www.eum.go.kr/web/ar/lu/luLandDet.jsp?pnu=3611011200121060029&amp;isNoScr=script&amp;mode=search", "토지이음")</f>
        <v/>
      </c>
      <c r="O326" s="3" t="inlineStr">
        <is>
          <t>새뜸마을</t>
        </is>
      </c>
      <c r="P326" s="4" t="n">
        <v>1</v>
      </c>
      <c r="Q326" s="4" t="n">
        <v>380.3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HYPERLINK("https://fin.land.naver.com/articles/2654703193",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387</v>
      </c>
      <c r="H328" s="4" t="n">
        <v>117</v>
      </c>
      <c r="I328" s="5" t="n">
        <v>1025.6</v>
      </c>
      <c r="J328" s="5" t="n">
        <v>282.1</v>
      </c>
      <c r="K328" s="3" t="inlineStr">
        <is>
          <t>벙커형 주차장가능 최고로얄필지 사생활보호최고 뒷마당 넓은곳</t>
        </is>
      </c>
      <c r="L328" s="6">
        <f>HYPERLINK("https://fin.land.naver.com/articles/2652918007",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HYPERLINK("https://fin.land.naver.com/articles/2654049762",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2108-30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초등학교 고등학교 및 중심 상권 인프라를 갖춘 타운하우스 용</t>
        </is>
      </c>
      <c r="L330" s="6">
        <f>HYPERLINK("https://fin.land.naver.com/articles/2655927768", "매물Link")</f>
        <v/>
      </c>
      <c r="M330" s="6">
        <f>HYPERLINK("https://map.naver.com/p/search/고운동 2108-30", "지도Link")</f>
        <v/>
      </c>
      <c r="N330" s="6">
        <f>HYPERLINK("http://www.eum.go.kr/web/ar/lu/luLandDet.jsp?pnu=3611011200121080030&amp;isNoScr=script&amp;mode=search", "토지이음")</f>
        <v/>
      </c>
      <c r="O330" s="3" t="inlineStr">
        <is>
          <t>세종신한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HYPERLINK("https://fin.land.naver.com/articles/2654920808",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HYPERLINK("https://fin.land.naver.com/articles/2656259612",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HYPERLINK("https://fin.land.naver.com/articles/2656265972",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HYPERLINK("https://fin.land.naver.com/articles/2654925656",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nan</t>
        </is>
      </c>
      <c r="L337" s="6">
        <f>HYPERLINK("https://fin.land.naver.com/articles/2654038772",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2110-36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376</v>
      </c>
      <c r="H338" s="4" t="n">
        <v>114</v>
      </c>
      <c r="I338" s="5" t="n">
        <v>438.6</v>
      </c>
      <c r="J338" s="5" t="n">
        <v>333.9</v>
      </c>
      <c r="K338" s="3" t="inlineStr">
        <is>
          <t>벙커주차장 가능한 노블테라스 토지 급매</t>
        </is>
      </c>
      <c r="L338" s="6">
        <f>HYPERLINK("https://fin.land.naver.com/articles/2656344942", "매물Link")</f>
        <v/>
      </c>
      <c r="M338" s="6">
        <f>HYPERLINK("https://map.naver.com/p/search/고운동 2110-36", "지도Link")</f>
        <v/>
      </c>
      <c r="N338" s="6">
        <f>HYPERLINK("http://www.eum.go.kr/web/ar/lu/luLandDet.jsp?pnu=3611011200121100036&amp;isNoScr=script&amp;mode=search",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376.5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급매, 노블테라스 토지매매, 벙커주차장 가능</t>
        </is>
      </c>
      <c r="L339" s="6">
        <f>HYPERLINK("https://fin.land.naver.com/articles/2656322273",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HYPERLINK("https://fin.land.naver.com/articles/2656206724",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HYPERLINK("https://fin.land.naver.com/articles/2654898356",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HYPERLINK("https://fin.land.naver.com/articles/2652418949",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HYPERLINK("https://fin.land.naver.com/articles/2650891216",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HYPERLINK("https://fin.land.naver.com/articles/2654706849",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HYPERLINK("https://fin.land.naver.com/articles/2655177060",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HYPERLINK("https://fin.land.naver.com/articles/2653573708",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HYPERLINK("https://fin.land.naver.com/articles/2655487148",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2163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160000</v>
      </c>
      <c r="G353" s="4" t="n">
        <v>363</v>
      </c>
      <c r="H353" s="4" t="n">
        <v>110</v>
      </c>
      <c r="I353" s="5" t="n">
        <v>1454.5</v>
      </c>
      <c r="J353" s="5" t="n">
        <v>707.1</v>
      </c>
      <c r="K353" s="3" t="inlineStr">
        <is>
          <t>한옥마을내 상가부지 희소한 상업용지</t>
        </is>
      </c>
      <c r="L353" s="6">
        <f>HYPERLINK("https://fin.land.naver.com/articles/2653842345", "매물Link")</f>
        <v/>
      </c>
      <c r="M353" s="6">
        <f>HYPERLINK("https://map.naver.com/p/search/고운동 2163", "지도Link")</f>
        <v/>
      </c>
      <c r="N353" s="6">
        <f>HYPERLINK("http://www.eum.go.kr/web/ar/lu/luLandDet.jsp?pnu=3611011200121630000&amp;isNoScr=script&amp;mode=search",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362.8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HYPERLINK("https://fin.land.naver.com/articles/2654695653",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HYPERLINK("https://fin.land.naver.com/articles/2653683054",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타운하우스 내 단독주택 토지 매매</t>
        </is>
      </c>
      <c r="L357" s="6">
        <f>HYPERLINK("https://fin.land.naver.com/articles/2654237070",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찬스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374</v>
      </c>
      <c r="H358" s="4" t="n">
        <v>113</v>
      </c>
      <c r="I358" s="5" t="n">
        <v>495.6</v>
      </c>
      <c r="J358" s="5" t="n">
        <v>319.6</v>
      </c>
      <c r="K358" s="3" t="inlineStr">
        <is>
          <t>고운동 단독주택지</t>
        </is>
      </c>
      <c r="L358" s="6">
        <f>HYPERLINK("https://fin.land.naver.com/articles/2654024875",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현대파라곤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43000</v>
      </c>
      <c r="G359" s="4" t="n">
        <v>251</v>
      </c>
      <c r="H359" s="4" t="n">
        <v>76</v>
      </c>
      <c r="I359" s="5" t="n">
        <v>565.8</v>
      </c>
      <c r="J359" s="5" t="n">
        <v>319.6</v>
      </c>
      <c r="K359" s="3" t="inlineStr">
        <is>
          <t>급매, 조망 좋은 고운동에 있는 세종네이플리브 단독주택지 입니다</t>
        </is>
      </c>
      <c r="L359" s="6">
        <f>HYPERLINK("https://fin.land.naver.com/articles/2652193954", "매물Link")</f>
        <v/>
      </c>
      <c r="M359" s="6">
        <f>HYPERLINK("https://map.naver.com/p/search/고운동 893-20", "지도Link")</f>
        <v/>
      </c>
      <c r="N359" s="6">
        <f>HYPERLINK("http://www.eum.go.kr/web/ar/lu/luLandDet.jsp?pnu=3611011200108930020&amp;isNoScr=script&amp;mode=search", "토지이음")</f>
        <v/>
      </c>
      <c r="O359" s="3" t="inlineStr">
        <is>
          <t>스마일세종</t>
        </is>
      </c>
      <c r="P359" s="4" t="n">
        <v>1</v>
      </c>
      <c r="Q359" s="4" t="n">
        <v>251.1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HYPERLINK("https://fin.land.naver.com/articles/2651025996",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HYPERLINK("https://fin.land.naver.com/articles/2651511916",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HYPERLINK("https://fin.land.naver.com/articles/2653033687",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r급매 타운하우스부지 A타입 건축가능</t>
        </is>
      </c>
      <c r="L365" s="6">
        <f>HYPERLINK("https://fin.land.naver.com/articles/2654693509",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써니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HYPERLINK("https://fin.land.naver.com/articles/2653338048",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HYPERLINK("https://fin.land.naver.com/articles/2655509311",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HYPERLINK("https://fin.land.naver.com/articles/2651892602",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HYPERLINK("https://fin.land.naver.com/articles/2652841596",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HYPERLINK("https://fin.land.naver.com/articles/2651946502",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HYPERLINK("https://fin.land.naver.com/articles/2651770499",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HYPERLINK("https://fin.land.naver.com/articles/2650960095",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HYPERLINK("https://fin.land.naver.com/articles/2655770078",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 세종코지빌 타운하우스  투자하기 좋은</t>
        </is>
      </c>
      <c r="L375" s="6">
        <f>HYPERLINK("https://fin.land.naver.com/articles/2655287302",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HYPERLINK("https://fin.land.naver.com/articles/2652418819",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HYPERLINK("https://fin.land.naver.com/articles/2654857128",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HYPERLINK("https://fin.land.naver.com/articles/2650943280",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HYPERLINK("https://fin.land.naver.com/articles/2653568386",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59000</v>
      </c>
      <c r="G381" s="4" t="n">
        <v>332</v>
      </c>
      <c r="H381" s="4" t="n">
        <v>100</v>
      </c>
      <c r="I381" s="5" t="n">
        <v>590</v>
      </c>
      <c r="J381" s="5" t="n">
        <v>328.2</v>
      </c>
      <c r="K381" s="3" t="inlineStr">
        <is>
          <t>삼거리 코너각지, 아파트단지 주변으로 생활 인프라 훌륭함</t>
        </is>
      </c>
      <c r="L381" s="6">
        <f>HYPERLINK("https://fin.land.naver.com/articles/2656274134", "매물Link")</f>
        <v/>
      </c>
      <c r="M381" s="6">
        <f>HYPERLINK("https://map.naver.com/p/search/고운동 917", "지도Link")</f>
        <v/>
      </c>
      <c r="N381" s="6">
        <f>HYPERLINK("http://www.eum.go.kr/web/ar/lu/luLandDet.jsp?pnu=3611011200109170000&amp;isNoScr=script&amp;mode=search",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332.7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106.85p, 고운동 공원인근</t>
        </is>
      </c>
      <c r="L383" s="6">
        <f>HYPERLINK("https://fin.land.naver.com/articles/2654715656",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345</v>
      </c>
      <c r="H384" s="4" t="n">
        <v>104</v>
      </c>
      <c r="I384" s="5" t="n">
        <v>625</v>
      </c>
      <c r="J384" s="5" t="n">
        <v>328.2</v>
      </c>
      <c r="K384" s="3" t="inlineStr">
        <is>
          <t>코너 입주 우수. 남향. 생활 편리.</t>
        </is>
      </c>
      <c r="L384" s="6">
        <f>HYPERLINK("https://fin.land.naver.com/articles/2654849383", "매물Link")</f>
        <v/>
      </c>
      <c r="M384" s="6">
        <f>HYPERLINK("https://map.naver.com/p/search/고운동 927", "지도Link")</f>
        <v/>
      </c>
      <c r="N384" s="6">
        <f>HYPERLINK("http://www.eum.go.kr/web/ar/lu/luLandDet.jsp?pnu=3611011200109270000&amp;isNoScr=script&amp;mode=search", "토지이음")</f>
        <v/>
      </c>
      <c r="O384" s="3" t="inlineStr">
        <is>
          <t>세종썬사사무소</t>
        </is>
      </c>
      <c r="P384" s="4" t="n">
        <v>2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벙커주차장 가능, 귀한 조경수 식재, 접근성 좋은 위치, 귀한 택지</t>
        </is>
      </c>
      <c r="L386" s="6">
        <f>HYPERLINK("https://fin.land.naver.com/articles/2656062426",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다정한길</t>
        </is>
      </c>
      <c r="P386" s="4" t="n">
        <v>4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학교 상가 대중교통이용편리,지하벙커주차장가능,측량완료</t>
        </is>
      </c>
      <c r="L387" s="6">
        <f>HYPERLINK("https://fin.land.naver.com/articles/2650885657",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세종제일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364</v>
      </c>
      <c r="H388" s="4" t="n">
        <v>110</v>
      </c>
      <c r="I388" s="5" t="n">
        <v>545.5</v>
      </c>
      <c r="J388" s="5" t="n">
        <v>358.7</v>
      </c>
      <c r="K388" s="3" t="inlineStr">
        <is>
          <t>접근성 좋은 위치, 고운동 북측 상권 이용 편리, 초중고 도보이용</t>
        </is>
      </c>
      <c r="L388" s="6">
        <f>HYPERLINK("https://fin.land.naver.com/articles/2653917538", "매물Link")</f>
        <v/>
      </c>
      <c r="M388" s="6">
        <f>HYPERLINK("https://map.naver.com/p/search/고운동 951", "지도Link")</f>
        <v/>
      </c>
      <c r="N388" s="6">
        <f>HYPERLINK("http://www.eum.go.kr/web/ar/lu/luLandDet.jsp?pnu=3611011200109510000&amp;isNoScr=script&amp;mode=search", "토지이음")</f>
        <v/>
      </c>
      <c r="O388" s="3" t="inlineStr">
        <is>
          <t>현대파라곤</t>
        </is>
      </c>
      <c r="P388" s="4" t="n">
        <v>2</v>
      </c>
      <c r="Q388" s="4" t="n">
        <v>364.1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366</v>
      </c>
      <c r="H389" s="4" t="n">
        <v>111</v>
      </c>
      <c r="I389" s="5" t="n">
        <v>540.5</v>
      </c>
      <c r="J389" s="5" t="n">
        <v>358.7</v>
      </c>
      <c r="K389" s="3" t="inlineStr">
        <is>
          <t>고운동 단독주택지, 최대 조율가능, 입지 좋은 넓은 평형</t>
        </is>
      </c>
      <c r="L389" s="6">
        <f>HYPERLINK("https://fin.land.naver.com/articles/2653682839",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지대높아 전망좋은 토지</t>
        </is>
      </c>
      <c r="L390" s="6">
        <f>HYPERLINK("https://fin.land.naver.com/articles/2656262135",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킹세종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111.2p, 최대 조율가능한 대형평형 토지매매</t>
        </is>
      </c>
      <c r="L392" s="6">
        <f>HYPERLINK("https://fin.land.naver.com/articles/2655487583",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345</v>
      </c>
      <c r="H394" s="4" t="n">
        <v>104</v>
      </c>
      <c r="I394" s="5" t="n">
        <v>596.2</v>
      </c>
      <c r="J394" s="5" t="n">
        <v>329.9</v>
      </c>
      <c r="K394" s="3" t="inlineStr">
        <is>
          <t>입지 좋은 고운동 토지매매, 코너 각지 위치</t>
        </is>
      </c>
      <c r="L394" s="6">
        <f>HYPERLINK("https://fin.land.naver.com/articles/2651905795",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삼거리 코너 각지, 입지 좋은 토지매매</t>
        </is>
      </c>
      <c r="L395" s="6">
        <f>HYPERLINK("https://fin.land.naver.com/articles/2651188999",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362</v>
      </c>
      <c r="H396" s="4" t="n">
        <v>110</v>
      </c>
      <c r="I396" s="5" t="n">
        <v>545.5</v>
      </c>
      <c r="J396" s="5" t="n">
        <v>329.9</v>
      </c>
      <c r="K396" s="3" t="inlineStr">
        <is>
          <t>코너각지   편의시설가까운 좋은위치   가격조율가능</t>
        </is>
      </c>
      <c r="L396" s="6">
        <f>HYPERLINK("https://fin.land.naver.com/articles/2655246785", "매물Link")</f>
        <v/>
      </c>
      <c r="M396" s="6">
        <f>HYPERLINK("https://map.naver.com/p/search/고운동 974", "지도Link")</f>
        <v/>
      </c>
      <c r="N396" s="6">
        <f>HYPERLINK("http://www.eum.go.kr/web/ar/lu/luLandDet.jsp?pnu=3611011200109740000&amp;isNoScr=script&amp;mode=search", "토지이음")</f>
        <v/>
      </c>
      <c r="O396" s="3" t="inlineStr">
        <is>
          <t>고운힐스테이트</t>
        </is>
      </c>
      <c r="P396" s="4" t="n">
        <v>2</v>
      </c>
      <c r="Q396" s="4" t="n">
        <v>362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HYPERLINK("https://fin.land.naver.com/articles/2653862784",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HYPERLINK("https://fin.land.naver.com/articles/2654597621",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3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nan</t>
        </is>
      </c>
      <c r="L402" s="6">
        <f>HYPERLINK("https://fin.land.naver.com/articles/2651029069",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금남면 감성리 111-1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104000</v>
      </c>
      <c r="G403" s="4" t="n">
        <v>2145</v>
      </c>
      <c r="H403" s="4" t="n">
        <v>649</v>
      </c>
      <c r="I403" s="5" t="n">
        <v>160.2</v>
      </c>
      <c r="J403" s="5" t="n">
        <v>96.3</v>
      </c>
      <c r="K403" s="3" t="inlineStr">
        <is>
          <t>2차선 도로변에 위치하고 있어 향후 투자가치 확보</t>
        </is>
      </c>
      <c r="L403" s="6">
        <f>HYPERLINK("https://fin.land.naver.com/articles/2654740563", "매물Link")</f>
        <v/>
      </c>
      <c r="M403" s="6">
        <f>HYPERLINK("https://map.naver.com/p/search/금남면 감성리 111-1", "지도Link")</f>
        <v/>
      </c>
      <c r="N403" s="6">
        <f>HYPERLINK("http://www.eum.go.kr/web/ar/lu/luLandDet.jsp?pnu=3611034023101110001&amp;isNoScr=script&amp;mode=search", "토지이음")</f>
        <v/>
      </c>
      <c r="O403" s="3" t="inlineStr">
        <is>
          <t>창고의여왕</t>
        </is>
      </c>
      <c r="P403" s="4" t="n">
        <v>2</v>
      </c>
      <c r="Q403" s="4" t="n">
        <v>2145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감성리 152-7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65000</v>
      </c>
      <c r="G404" s="4" t="n">
        <v>1359</v>
      </c>
      <c r="H404" s="4" t="n">
        <v>411</v>
      </c>
      <c r="I404" s="5" t="n">
        <v>158.2</v>
      </c>
      <c r="J404" s="5" t="n">
        <v>89.8</v>
      </c>
      <c r="K404" s="3" t="inlineStr">
        <is>
          <t>nan</t>
        </is>
      </c>
      <c r="L404" s="6">
        <f>HYPERLINK("https://fin.land.naver.com/articles/2654930878", "매물Link")</f>
        <v/>
      </c>
      <c r="M404" s="6">
        <f>HYPERLINK("https://map.naver.com/p/search/금남면 감성리 152-7", "지도Link")</f>
        <v/>
      </c>
      <c r="N404" s="6">
        <f>HYPERLINK("http://www.eum.go.kr/web/ar/lu/luLandDet.jsp?pnu=3611034023101520007&amp;isNoScr=script&amp;mode=search", "토지이음")</f>
        <v/>
      </c>
      <c r="O404" s="3" t="inlineStr">
        <is>
          <t>드림무소</t>
        </is>
      </c>
      <c r="P404" s="4" t="n">
        <v>1</v>
      </c>
      <c r="Q404" s="4" t="n">
        <v>1359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감성리 260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320000</v>
      </c>
      <c r="G405" s="4" t="n">
        <v>7207</v>
      </c>
      <c r="H405" s="4" t="n">
        <v>2180</v>
      </c>
      <c r="I405" s="5" t="n">
        <v>146.8</v>
      </c>
      <c r="J405" s="5" t="n">
        <v>36.6</v>
      </c>
      <c r="K405" s="3" t="inlineStr">
        <is>
          <t>필지 분할 매매 가능 두만교차로 인접 투자처로 아주 좋음</t>
        </is>
      </c>
      <c r="L405" s="6">
        <f>HYPERLINK("https://fin.land.naver.com/articles/2656368525", "매물Link")</f>
        <v/>
      </c>
      <c r="M405" s="6">
        <f>HYPERLINK("https://map.naver.com/p/search/금남면 감성리 260", "지도Link")</f>
        <v/>
      </c>
      <c r="N405" s="6">
        <f>HYPERLINK("http://www.eum.go.kr/web/ar/lu/luLandDet.jsp?pnu=3611034023102600000&amp;isNoScr=script&amp;mode=search", "토지이음")</f>
        <v/>
      </c>
      <c r="O405" s="3" t="inlineStr">
        <is>
          <t>뉴엘리트탑</t>
        </is>
      </c>
      <c r="P405" s="4" t="n">
        <v>1</v>
      </c>
      <c r="Q405" s="4" t="n">
        <v>2500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215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35000</v>
      </c>
      <c r="G406" s="4" t="n">
        <v>460</v>
      </c>
      <c r="H406" s="4" t="n">
        <v>139</v>
      </c>
      <c r="I406" s="5" t="n">
        <v>251.8</v>
      </c>
      <c r="J406" s="5" t="n">
        <v>23.5</v>
      </c>
      <c r="K406" s="3" t="inlineStr">
        <is>
          <t>nan</t>
        </is>
      </c>
      <c r="L406" s="6">
        <f>HYPERLINK("https://fin.land.naver.com/articles/2654420453", "매물Link")</f>
        <v/>
      </c>
      <c r="M406" s="6">
        <f>HYPERLINK("https://map.naver.com/p/search/금남면 국곡리 215", "지도Link")</f>
        <v/>
      </c>
      <c r="N406" s="6">
        <f>HYPERLINK("http://www.eum.go.kr/web/ar/lu/luLandDet.jsp?pnu=3611034044102150000&amp;isNoScr=script&amp;mode=search",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460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217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155000</v>
      </c>
      <c r="G408" s="4" t="n">
        <v>2054</v>
      </c>
      <c r="H408" s="4" t="n">
        <v>621</v>
      </c>
      <c r="I408" s="5" t="n">
        <v>249.6</v>
      </c>
      <c r="J408" s="5" t="n">
        <v>43.8</v>
      </c>
      <c r="K408" s="3" t="inlineStr">
        <is>
          <t>계획관리지역으로 투자가치 양호함.</t>
        </is>
      </c>
      <c r="L408" s="6">
        <f>HYPERLINK("https://fin.land.naver.com/articles/2654569096", "매물Link")</f>
        <v/>
      </c>
      <c r="M408" s="6">
        <f>HYPERLINK("https://map.naver.com/p/search/금남면 국곡리 217", "지도Link")</f>
        <v/>
      </c>
      <c r="N408" s="6">
        <f>HYPERLINK("http://www.eum.go.kr/web/ar/lu/luLandDet.jsp?pnu=3611034044102170000&amp;isNoScr=script&amp;mode=search", "토지이음")</f>
        <v/>
      </c>
      <c r="O408" s="3" t="inlineStr">
        <is>
          <t>다정현대</t>
        </is>
      </c>
      <c r="P408" s="4" t="n">
        <v>1</v>
      </c>
      <c r="Q408" s="4" t="n">
        <v>1435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218</t>
        </is>
      </c>
      <c r="B409" s="3" t="inlineStr">
        <is>
          <t>계획관리지역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12000</v>
      </c>
      <c r="G409" s="4" t="n">
        <v>159</v>
      </c>
      <c r="H409" s="4" t="n">
        <v>48</v>
      </c>
      <c r="I409" s="5" t="n">
        <v>250</v>
      </c>
      <c r="J409" s="5" t="n">
        <v>43.8</v>
      </c>
      <c r="K409" s="3" t="inlineStr">
        <is>
          <t>nan</t>
        </is>
      </c>
      <c r="L409" s="6">
        <f>HYPERLINK("https://fin.land.naver.com/articles/2654420972", "매물Link")</f>
        <v/>
      </c>
      <c r="M409" s="6">
        <f>HYPERLINK("https://map.naver.com/p/search/금남면 국곡리 218", "지도Link")</f>
        <v/>
      </c>
      <c r="N409" s="6">
        <f>HYPERLINK("http://www.eum.go.kr/web/ar/lu/luLandDet.jsp?pnu=3611034044102180000&amp;isNoScr=script&amp;mode=search", "토지이음")</f>
        <v/>
      </c>
      <c r="O409" s="3" t="inlineStr">
        <is>
          <t>그래그</t>
        </is>
      </c>
      <c r="P409" s="4" t="n">
        <v>1</v>
      </c>
      <c r="Q409" s="4" t="n">
        <v>159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금남면 국곡리 266-16</t>
        </is>
      </c>
      <c r="B410" s="3" t="inlineStr">
        <is>
          <t>생산관리지역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127500</v>
      </c>
      <c r="G410" s="4" t="n">
        <v>1686</v>
      </c>
      <c r="H410" s="4" t="n">
        <v>510</v>
      </c>
      <c r="I410" s="5" t="n">
        <v>250</v>
      </c>
      <c r="J410" s="5" t="n">
        <v>55.9</v>
      </c>
      <c r="K410" s="3" t="inlineStr">
        <is>
          <t>고속철도역 신설시 수헤지역</t>
        </is>
      </c>
      <c r="L410" s="6">
        <f>HYPERLINK("https://fin.land.naver.com/articles/2651143722", "매물Link")</f>
        <v/>
      </c>
      <c r="M410" s="6">
        <f>HYPERLINK("https://map.naver.com/p/search/금남면 국곡리 266-16", "지도Link")</f>
        <v/>
      </c>
      <c r="N410" s="6">
        <f>HYPERLINK("http://www.eum.go.kr/web/ar/lu/luLandDet.jsp?pnu=3611034044102660016&amp;isNoScr=script&amp;mode=search", "토지이음")</f>
        <v/>
      </c>
      <c r="O410" s="3" t="inlineStr">
        <is>
          <t>뉴장원</t>
        </is>
      </c>
      <c r="P410" s="4" t="n">
        <v>1</v>
      </c>
      <c r="Q410" s="4" t="n">
        <v>687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34-7</t>
        </is>
      </c>
      <c r="B411" s="3" t="inlineStr">
        <is>
          <t>보전관리지역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18000</v>
      </c>
      <c r="G411" s="4" t="n">
        <v>582</v>
      </c>
      <c r="H411" s="4" t="n">
        <v>176</v>
      </c>
      <c r="I411" s="5" t="n">
        <v>102.3</v>
      </c>
      <c r="J411" s="5" t="n">
        <v>41.8</v>
      </c>
      <c r="K411" s="3" t="inlineStr">
        <is>
          <t>정남향땅</t>
        </is>
      </c>
      <c r="L411" s="6">
        <f>HYPERLINK("https://fin.land.naver.com/articles/2653843637", "매물Link")</f>
        <v/>
      </c>
      <c r="M411" s="6">
        <f>HYPERLINK("https://map.naver.com/p/search/금남면 국곡리 34-7", "지도Link")</f>
        <v/>
      </c>
      <c r="N411" s="6">
        <f>HYPERLINK("http://www.eum.go.kr/web/ar/lu/luLandDet.jsp?pnu=3611034044100340007&amp;isNoScr=script&amp;mode=search", "토지이음")</f>
        <v/>
      </c>
      <c r="O411" s="3" t="inlineStr">
        <is>
          <t>일등사무소</t>
        </is>
      </c>
      <c r="P411" s="4" t="n">
        <v>1</v>
      </c>
      <c r="Q411" s="4" t="n">
        <v>582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금남면 국곡리 36</t>
        </is>
      </c>
      <c r="B412" s="3" t="inlineStr">
        <is>
          <t>보전관리지역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10000</v>
      </c>
      <c r="G412" s="4" t="n">
        <v>446</v>
      </c>
      <c r="H412" s="4" t="n">
        <v>135</v>
      </c>
      <c r="I412" s="5" t="n">
        <v>74.09999999999999</v>
      </c>
      <c r="J412" s="5" t="n">
        <v>23.6</v>
      </c>
      <c r="K412" s="3" t="inlineStr">
        <is>
          <t>텃밭가꾸기</t>
        </is>
      </c>
      <c r="L412" s="6">
        <f>HYPERLINK("https://fin.land.naver.com/articles/2656411253", "매물Link")</f>
        <v/>
      </c>
      <c r="M412" s="6">
        <f>HYPERLINK("https://map.naver.com/p/search/금남면 국곡리 36", "지도Link")</f>
        <v/>
      </c>
      <c r="N412" s="6">
        <f>HYPERLINK("http://www.eum.go.kr/web/ar/lu/luLandDet.jsp?pnu=3611034044100360000&amp;isNoScr=script&amp;mode=search", "토지이음")</f>
        <v/>
      </c>
      <c r="O412" s="3" t="inlineStr">
        <is>
          <t>일등사무소</t>
        </is>
      </c>
      <c r="P412" s="4" t="n">
        <v>1</v>
      </c>
      <c r="Q412" s="4" t="n">
        <v>446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91</t>
        </is>
      </c>
      <c r="B413" s="3" t="inlineStr">
        <is>
          <t>농림지역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111000</v>
      </c>
      <c r="G413" s="4" t="n">
        <v>4582</v>
      </c>
      <c r="H413" s="4" t="n">
        <v>1386</v>
      </c>
      <c r="I413" s="5" t="n">
        <v>80.09999999999999</v>
      </c>
      <c r="J413" s="5" t="n">
        <v>40.7</v>
      </c>
      <c r="K413" s="3" t="inlineStr">
        <is>
          <t>남세종IC 7분. 코스트코10분. 위치좋은 국곡리 토지</t>
        </is>
      </c>
      <c r="L413" s="6">
        <f>HYPERLINK("https://fin.land.naver.com/articles/2651901763", "매물Link")</f>
        <v/>
      </c>
      <c r="M413" s="6">
        <f>HYPERLINK("https://map.naver.com/p/search/금남면 국곡리 91", "지도Link")</f>
        <v/>
      </c>
      <c r="N413" s="6">
        <f>HYPERLINK("http://www.eum.go.kr/web/ar/lu/luLandDet.jsp?pnu=3611034044100910000&amp;isNoScr=script&amp;mode=search", "토지이음")</f>
        <v/>
      </c>
      <c r="O413" s="3" t="inlineStr">
        <is>
          <t>새롬삼둥이</t>
        </is>
      </c>
      <c r="P413" s="4" t="n">
        <v>1</v>
      </c>
      <c r="Q413" s="4" t="n">
        <v>2479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국곡리 98-7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13500</v>
      </c>
      <c r="G414" s="4" t="n">
        <v>261</v>
      </c>
      <c r="H414" s="4" t="n">
        <v>79</v>
      </c>
      <c r="I414" s="5" t="n">
        <v>170.9</v>
      </c>
      <c r="J414" s="5" t="n">
        <v>132</v>
      </c>
      <c r="K414" s="3" t="inlineStr">
        <is>
          <t>세종인근의 아담한 대지 매매</t>
        </is>
      </c>
      <c r="L414" s="6">
        <f>HYPERLINK("https://fin.land.naver.com/articles/2652851613", "매물Link")</f>
        <v/>
      </c>
      <c r="M414" s="6">
        <f>HYPERLINK("https://map.naver.com/p/search/금남면 국곡리 98-7", "지도Link")</f>
        <v/>
      </c>
      <c r="N414" s="6">
        <f>HYPERLINK("http://www.eum.go.kr/web/ar/lu/luLandDet.jsp?pnu=3611034044100980007&amp;isNoScr=script&amp;mode=search", "토지이음")</f>
        <v/>
      </c>
      <c r="O414" s="3" t="inlineStr">
        <is>
          <t>세종다올</t>
        </is>
      </c>
      <c r="P414" s="4" t="n">
        <v>1</v>
      </c>
      <c r="Q414" s="4" t="n">
        <v>261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75000</v>
      </c>
      <c r="G415" s="4" t="n">
        <v>3441</v>
      </c>
      <c r="H415" s="4" t="n">
        <v>1041</v>
      </c>
      <c r="I415" s="5" t="n">
        <v>72</v>
      </c>
      <c r="J415" s="5" t="n">
        <v>45</v>
      </c>
      <c r="K415" s="3" t="inlineStr">
        <is>
          <t>nan</t>
        </is>
      </c>
      <c r="L415" s="6">
        <f>HYPERLINK("https://fin.land.naver.com/articles/2652749139",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세종대평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205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63000</v>
      </c>
      <c r="G416" s="4" t="n">
        <v>2807</v>
      </c>
      <c r="H416" s="4" t="n">
        <v>849</v>
      </c>
      <c r="I416" s="5" t="n">
        <v>74.2</v>
      </c>
      <c r="J416" s="5" t="n">
        <v>45</v>
      </c>
      <c r="K416" s="3" t="inlineStr">
        <is>
          <t>nan</t>
        </is>
      </c>
      <c r="L416" s="6">
        <f>HYPERLINK("https://fin.land.naver.com/articles/2651107952", "매물Link")</f>
        <v/>
      </c>
      <c r="M416" s="6">
        <f>HYPERLINK("https://map.naver.com/p/search/금남면 금천리 205", "지도Link")</f>
        <v/>
      </c>
      <c r="N416" s="6">
        <f>HYPERLINK("http://www.eum.go.kr/web/ar/lu/luLandDet.jsp?pnu=3611034027102050000&amp;isNoScr=script&amp;mode=search", "토지이음")</f>
        <v/>
      </c>
      <c r="O416" s="3" t="inlineStr">
        <is>
          <t>뉴엘리트탑</t>
        </is>
      </c>
      <c r="P416" s="4" t="n">
        <v>1</v>
      </c>
      <c r="Q416" s="4" t="n">
        <v>2807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225-4</t>
        </is>
      </c>
      <c r="B417" s="3" t="inlineStr">
        <is>
          <t>제1종일반주거지역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39000</v>
      </c>
      <c r="G417" s="4" t="n">
        <v>592</v>
      </c>
      <c r="H417" s="4" t="n">
        <v>179</v>
      </c>
      <c r="I417" s="5" t="n">
        <v>217.9</v>
      </c>
      <c r="J417" s="5" t="n">
        <v>56.4</v>
      </c>
      <c r="K417" s="3" t="inlineStr">
        <is>
          <t>금남면 금천리마을 2차선도로 접해 다양하게 활용하기 좋은 토지 매매</t>
        </is>
      </c>
      <c r="L417" s="6">
        <f>HYPERLINK("https://fin.land.naver.com/articles/2656204935", "매물Link")</f>
        <v/>
      </c>
      <c r="M417" s="6">
        <f>HYPERLINK("https://map.naver.com/p/search/금남면 금천리 225-4", "지도Link")</f>
        <v/>
      </c>
      <c r="N417" s="6">
        <f>HYPERLINK("http://www.eum.go.kr/web/ar/lu/luLandDet.jsp?pnu=3611034027102250004&amp;isNoScr=script&amp;mode=search", "토지이음")</f>
        <v/>
      </c>
      <c r="O417" s="3" t="inlineStr">
        <is>
          <t>나침반</t>
        </is>
      </c>
      <c r="P417" s="4" t="n">
        <v>1</v>
      </c>
      <c r="Q417" s="4" t="n">
        <v>592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금남면 금천리 63-3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125000</v>
      </c>
      <c r="G418" s="4" t="n">
        <v>1416</v>
      </c>
      <c r="H418" s="4" t="n">
        <v>428</v>
      </c>
      <c r="I418" s="5" t="n">
        <v>292.1</v>
      </c>
      <c r="J418" s="5" t="n">
        <v>62.9</v>
      </c>
      <c r="K418" s="3" t="inlineStr">
        <is>
          <t>금남면 복컴 10분, 세종시청15분거리  도로접함, 도시지역 건축가능함</t>
        </is>
      </c>
      <c r="L418" s="6">
        <f>HYPERLINK("https://fin.land.naver.com/articles/2653056487", "매물Link")</f>
        <v/>
      </c>
      <c r="M418" s="6">
        <f>HYPERLINK("https://map.naver.com/p/search/금남면 금천리 63-3", "지도Link")</f>
        <v/>
      </c>
      <c r="N418" s="6">
        <f>HYPERLINK("http://www.eum.go.kr/web/ar/lu/luLandDet.jsp?pnu=3611034027100630003&amp;isNoScr=script&amp;mode=search", "토지이음")</f>
        <v/>
      </c>
      <c r="O418" s="3" t="inlineStr">
        <is>
          <t>새롬삼둥이</t>
        </is>
      </c>
      <c r="P418" s="4" t="n">
        <v>1</v>
      </c>
      <c r="Q418" s="4" t="n">
        <v>1416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65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38000</v>
      </c>
      <c r="G419" s="4" t="n">
        <v>2279</v>
      </c>
      <c r="H419" s="4" t="n">
        <v>689</v>
      </c>
      <c r="I419" s="5" t="n">
        <v>55.2</v>
      </c>
      <c r="J419" s="5" t="n">
        <v>25.4</v>
      </c>
      <c r="K419" s="3" t="inlineStr">
        <is>
          <t>자연녹지지역. 개발제한구역으로 저렴한 비용으로 급매.</t>
        </is>
      </c>
      <c r="L419" s="6">
        <f>HYPERLINK("https://fin.land.naver.com/articles/2652661868", "매물Link")</f>
        <v/>
      </c>
      <c r="M419" s="6">
        <f>HYPERLINK("https://map.naver.com/p/search/금남면 금천리 65", "지도Link")</f>
        <v/>
      </c>
      <c r="N419" s="6">
        <f>HYPERLINK("http://www.eum.go.kr/web/ar/lu/luLandDet.jsp?pnu=3611034027100650000&amp;isNoScr=script&amp;mode=search", "토지이음")</f>
        <v/>
      </c>
      <c r="O419" s="3" t="inlineStr">
        <is>
          <t>세종대장</t>
        </is>
      </c>
      <c r="P419" s="4" t="n">
        <v>1</v>
      </c>
      <c r="Q419" s="4" t="n">
        <v>2279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금천리 산3</t>
        </is>
      </c>
      <c r="B420" s="3" t="inlineStr">
        <is>
          <t>개발제한구역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13000</v>
      </c>
      <c r="G420" s="4" t="n">
        <v>10413</v>
      </c>
      <c r="H420" s="4" t="n">
        <v>3150</v>
      </c>
      <c r="I420" s="5" t="n">
        <v>4.1</v>
      </c>
      <c r="J420" s="5" t="n">
        <v>2.3</v>
      </c>
      <c r="K420" s="3" t="inlineStr">
        <is>
          <t>세종시내10분거리.비포장 임도존재.저렴한가격.장기투자가치</t>
        </is>
      </c>
      <c r="L420" s="6">
        <f>HYPERLINK("https://fin.land.naver.com/articles/2656103471", "매물Link")</f>
        <v/>
      </c>
      <c r="M420" s="6">
        <f>HYPERLINK("https://map.naver.com/p/search/금남면 금천리 산3", "지도Link")</f>
        <v/>
      </c>
      <c r="N420" s="6">
        <f>HYPERLINK("http://www.eum.go.kr/web/ar/lu/luLandDet.jsp?pnu=3611034027200030000&amp;isNoScr=script&amp;mode=search", "토지이음")</f>
        <v/>
      </c>
      <c r="O420" s="3" t="inlineStr">
        <is>
          <t>돈방석</t>
        </is>
      </c>
      <c r="P420" s="4" t="n">
        <v>1</v>
      </c>
      <c r="Q420" s="4" t="n">
        <v>10413</v>
      </c>
      <c r="R420" s="3" t="inlineStr">
        <is>
          <t>지정되지않음</t>
        </is>
      </c>
      <c r="S420" s="3" t="inlineStr">
        <is>
          <t>자연림</t>
        </is>
      </c>
      <c r="T420" s="3" t="inlineStr">
        <is>
          <t>급경사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128-1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23000</v>
      </c>
      <c r="G421" s="4" t="n">
        <v>1421</v>
      </c>
      <c r="H421" s="4" t="n">
        <v>430</v>
      </c>
      <c r="I421" s="5" t="n">
        <v>53.5</v>
      </c>
      <c r="J421" s="5" t="n">
        <v>30.3</v>
      </c>
      <c r="K421" s="3" t="inlineStr">
        <is>
          <t>답으로 이용중이고 저렴한 농지</t>
        </is>
      </c>
      <c r="L421" s="6">
        <f>HYPERLINK("https://fin.land.naver.com/articles/2653601499", "매물Link")</f>
        <v/>
      </c>
      <c r="M421" s="6">
        <f>HYPERLINK("https://map.naver.com/p/search/금남면 남곡리 128-1", "지도Link")</f>
        <v/>
      </c>
      <c r="N421" s="6">
        <f>HYPERLINK("http://www.eum.go.kr/web/ar/lu/luLandDet.jsp?pnu=3611034029101280001&amp;isNoScr=script&amp;mode=search",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1423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남곡리 276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37000</v>
      </c>
      <c r="G422" s="4" t="n">
        <v>1517</v>
      </c>
      <c r="H422" s="4" t="n">
        <v>459</v>
      </c>
      <c r="I422" s="5" t="n">
        <v>80.59999999999999</v>
      </c>
      <c r="J422" s="5" t="n">
        <v>32.5</v>
      </c>
      <c r="K422" s="3" t="inlineStr">
        <is>
          <t>금남면 남곡리 마을포장도로에 접한 개발제한구역의 투자용 전입니다</t>
        </is>
      </c>
      <c r="L422" s="6">
        <f>HYPERLINK("https://fin.land.naver.com/articles/2654810661", "매물Link")</f>
        <v/>
      </c>
      <c r="M422" s="6">
        <f>HYPERLINK("https://map.naver.com/p/search/금남면 남곡리 276", "지도Link")</f>
        <v/>
      </c>
      <c r="N422" s="6">
        <f>HYPERLINK("http://www.eum.go.kr/web/ar/lu/luLandDet.jsp?pnu=3611034029102760000&amp;isNoScr=script&amp;mode=search", "토지이음")</f>
        <v/>
      </c>
      <c r="O422" s="3" t="inlineStr">
        <is>
          <t>스마일세종</t>
        </is>
      </c>
      <c r="P422" s="4" t="n">
        <v>1</v>
      </c>
      <c r="Q422" s="4" t="n">
        <v>1517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남곡리 286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5700</v>
      </c>
      <c r="G423" s="4" t="n">
        <v>257</v>
      </c>
      <c r="H423" s="4" t="n">
        <v>78</v>
      </c>
      <c r="I423" s="5" t="n">
        <v>73.09999999999999</v>
      </c>
      <c r="J423" s="5" t="n">
        <v>39.7</v>
      </c>
      <c r="K423" s="3" t="inlineStr">
        <is>
          <t>금남면  저렴한 전 토지매매 진입도로 있음</t>
        </is>
      </c>
      <c r="L423" s="6">
        <f>HYPERLINK("https://fin.land.naver.com/articles/2652200797", "매물Link")</f>
        <v/>
      </c>
      <c r="M423" s="6">
        <f>HYPERLINK("https://map.naver.com/p/search/금남면 남곡리 286", "지도Link")</f>
        <v/>
      </c>
      <c r="N423" s="6">
        <f>HYPERLINK("http://www.eum.go.kr/web/ar/lu/luLandDet.jsp?pnu=3611034029102860000&amp;isNoScr=script&amp;mode=search", "토지이음")</f>
        <v/>
      </c>
      <c r="O423" s="3" t="inlineStr">
        <is>
          <t>도안부자</t>
        </is>
      </c>
      <c r="P423" s="4" t="n">
        <v>1</v>
      </c>
      <c r="Q423" s="4" t="n">
        <v>259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22825</v>
      </c>
      <c r="G424" s="4" t="n">
        <v>1379</v>
      </c>
      <c r="H424" s="4" t="n">
        <v>417</v>
      </c>
      <c r="I424" s="5" t="n">
        <v>54.7</v>
      </c>
      <c r="J424" s="5" t="n">
        <v>27.8</v>
      </c>
      <c r="K424" s="3" t="inlineStr">
        <is>
          <t>대전 인접 세종시 금남면 복숭아 나무 포함 ,관리 잘 된 알짜 과수원</t>
        </is>
      </c>
      <c r="L424" s="6">
        <f>HYPERLINK("https://fin.land.naver.com/articles/2651530314",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한아름</t>
        </is>
      </c>
      <c r="P424" s="4" t="n">
        <v>1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308</t>
        </is>
      </c>
      <c r="B425" s="3" t="inlineStr">
        <is>
          <t>개발제한구역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23000</v>
      </c>
      <c r="G425" s="4" t="n">
        <v>1378</v>
      </c>
      <c r="H425" s="4" t="n">
        <v>417</v>
      </c>
      <c r="I425" s="5" t="n">
        <v>55.2</v>
      </c>
      <c r="J425" s="5" t="n">
        <v>27.8</v>
      </c>
      <c r="K425" s="3" t="inlineStr">
        <is>
          <t>구거낀 현황도로 전 매매</t>
        </is>
      </c>
      <c r="L425" s="6">
        <f>HYPERLINK("https://fin.land.naver.com/articles/2653195495", "매물Link")</f>
        <v/>
      </c>
      <c r="M425" s="6">
        <f>HYPERLINK("https://map.naver.com/p/search/금남면 남곡리 308", "지도Link")</f>
        <v/>
      </c>
      <c r="N425" s="6">
        <f>HYPERLINK("http://www.eum.go.kr/web/ar/lu/luLandDet.jsp?pnu=3611034029103080000&amp;isNoScr=script&amp;mode=search", "토지이음")</f>
        <v/>
      </c>
      <c r="O425" s="3" t="inlineStr">
        <is>
          <t>THE행복</t>
        </is>
      </c>
      <c r="P425" s="4" t="n">
        <v>2</v>
      </c>
      <c r="Q425" s="4" t="n">
        <v>1379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세로한면(불)</t>
        </is>
      </c>
    </row>
    <row r="426">
      <c r="A426" s="3" t="inlineStr">
        <is>
          <t>금남면 남곡리 324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24500</v>
      </c>
      <c r="G426" s="4" t="n">
        <v>2309</v>
      </c>
      <c r="H426" s="4" t="n">
        <v>698</v>
      </c>
      <c r="I426" s="5" t="n">
        <v>35.1</v>
      </c>
      <c r="J426" s="5" t="n">
        <v>19.6</v>
      </c>
      <c r="K426" s="3" t="inlineStr">
        <is>
          <t>세종과 대전 사이, 자연녹지 개발제한구역</t>
        </is>
      </c>
      <c r="L426" s="6">
        <f>HYPERLINK("https://fin.land.naver.com/articles/2654225333", "매물Link")</f>
        <v/>
      </c>
      <c r="M426" s="6">
        <f>HYPERLINK("https://map.naver.com/p/search/금남면 남곡리 324", "지도Link")</f>
        <v/>
      </c>
      <c r="N426" s="6">
        <f>HYPERLINK("http://www.eum.go.kr/web/ar/lu/luLandDet.jsp?pnu=3611034029103240000&amp;isNoScr=script&amp;mode=search", "토지이음")</f>
        <v/>
      </c>
      <c r="O426" s="3" t="inlineStr">
        <is>
          <t>미스터홈즈강남지사</t>
        </is>
      </c>
      <c r="P426" s="4" t="n">
        <v>1</v>
      </c>
      <c r="Q426" s="4" t="n">
        <v>2309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고지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남곡리 341-1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55000</v>
      </c>
      <c r="G427" s="4" t="n">
        <v>2595</v>
      </c>
      <c r="H427" s="4" t="n">
        <v>785</v>
      </c>
      <c r="I427" s="5" t="n">
        <v>70.09999999999999</v>
      </c>
      <c r="J427" s="5" t="n">
        <v>31.2</v>
      </c>
      <c r="K427" s="3" t="inlineStr">
        <is>
          <t>2차선 및 농로 양면 도로접한 논</t>
        </is>
      </c>
      <c r="L427" s="6">
        <f>HYPERLINK("https://fin.land.naver.com/articles/2655510678", "매물Link")</f>
        <v/>
      </c>
      <c r="M427" s="6">
        <f>HYPERLINK("https://map.naver.com/p/search/금남면 남곡리 341-1", "지도Link")</f>
        <v/>
      </c>
      <c r="N427" s="6">
        <f>HYPERLINK("http://www.eum.go.kr/web/ar/lu/luLandDet.jsp?pnu=3611034029103410001&amp;isNoScr=script&amp;mode=search", "토지이음")</f>
        <v/>
      </c>
      <c r="O427" s="3" t="inlineStr">
        <is>
          <t>신안</t>
        </is>
      </c>
      <c r="P427" s="4" t="n">
        <v>1</v>
      </c>
      <c r="Q427" s="4" t="n">
        <v>2595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HYPERLINK("https://fin.land.naver.com/articles/2651289814",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HYPERLINK("https://fin.land.naver.com/articles/2651318159",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산24-79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20000</v>
      </c>
      <c r="G440" s="4" t="n">
        <v>1701</v>
      </c>
      <c r="H440" s="4" t="n">
        <v>515</v>
      </c>
      <c r="I440" s="5" t="n">
        <v>38.8</v>
      </c>
      <c r="J440" s="5" t="n">
        <v>3.2</v>
      </c>
      <c r="K440" s="3" t="inlineStr">
        <is>
          <t>달전리 도로접한 토지매매</t>
        </is>
      </c>
      <c r="L440" s="6">
        <f>HYPERLINK("https://fin.land.naver.com/articles/2653195688", "매물Link")</f>
        <v/>
      </c>
      <c r="M440" s="6">
        <f>HYPERLINK("https://map.naver.com/p/search/금남면 달전리 산24-79", "지도Link")</f>
        <v/>
      </c>
      <c r="N440" s="6">
        <f>HYPERLINK("http://www.eum.go.kr/web/ar/lu/luLandDet.jsp?pnu=3611034032200240079&amp;isNoScr=script&amp;mode=search",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1702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산71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87000</v>
      </c>
      <c r="G441" s="4" t="n">
        <v>29008</v>
      </c>
      <c r="H441" s="4" t="n">
        <v>8775</v>
      </c>
      <c r="I441" s="5" t="n">
        <v>9.9</v>
      </c>
      <c r="J441" s="5" t="n">
        <v>3.1</v>
      </c>
      <c r="K441" s="3" t="inlineStr">
        <is>
          <t>활용도에 따라 다양한 가능성,임야 투자처로 추천</t>
        </is>
      </c>
      <c r="L441" s="6">
        <f>HYPERLINK("https://fin.land.naver.com/articles/2652790719", "매물Link")</f>
        <v/>
      </c>
      <c r="M441" s="6">
        <f>HYPERLINK("https://map.naver.com/p/search/금남면 달전리 산71", "지도Link")</f>
        <v/>
      </c>
      <c r="N441" s="6">
        <f>HYPERLINK("http://www.eum.go.kr/web/ar/lu/luLandDet.jsp?pnu=3611034032200710000&amp;isNoScr=script&amp;mode=search", "토지이음")</f>
        <v/>
      </c>
      <c r="O441" s="3" t="inlineStr">
        <is>
          <t>가치잇는</t>
        </is>
      </c>
      <c r="P441" s="4" t="n">
        <v>1</v>
      </c>
      <c r="Q441" s="4" t="n">
        <v>38678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달전리 산9-7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60000</v>
      </c>
      <c r="G442" s="4" t="n">
        <v>8946</v>
      </c>
      <c r="H442" s="4" t="n">
        <v>2706</v>
      </c>
      <c r="I442" s="5" t="n">
        <v>22.2</v>
      </c>
      <c r="J442" s="5" t="n">
        <v>3.2</v>
      </c>
      <c r="K442" s="3" t="inlineStr">
        <is>
          <t>nan</t>
        </is>
      </c>
      <c r="L442" s="6">
        <f>HYPERLINK("https://fin.land.naver.com/articles/2652764327", "매물Link")</f>
        <v/>
      </c>
      <c r="M442" s="6">
        <f>HYPERLINK("https://map.naver.com/p/search/금남면 달전리 산9-7", "지도Link")</f>
        <v/>
      </c>
      <c r="N442" s="6">
        <f>HYPERLINK("http://www.eum.go.kr/web/ar/lu/luLandDet.jsp?pnu=3611034032200090007&amp;isNoScr=script&amp;mode=search", "토지이음")</f>
        <v/>
      </c>
      <c r="O442" s="3" t="inlineStr">
        <is>
          <t>가치잇는</t>
        </is>
      </c>
      <c r="P442" s="4" t="n">
        <v>2</v>
      </c>
      <c r="Q442" s="4" t="n">
        <v>8946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맹지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44200</v>
      </c>
      <c r="G443" s="4" t="n">
        <v>425</v>
      </c>
      <c r="H443" s="4" t="n">
        <v>129</v>
      </c>
      <c r="I443" s="5" t="n">
        <v>342.6</v>
      </c>
      <c r="J443" s="5" t="n">
        <v>175.4</v>
      </c>
      <c r="K443" s="3" t="inlineStr">
        <is>
          <t>4생활옆 대박리 전원주택지</t>
        </is>
      </c>
      <c r="L443" s="6">
        <f>HYPERLINK("https://fin.land.naver.com/articles/2651786370",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세종천지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44100</v>
      </c>
      <c r="G444" s="4" t="n">
        <v>425</v>
      </c>
      <c r="H444" s="4" t="n">
        <v>129</v>
      </c>
      <c r="I444" s="5" t="n">
        <v>341.9</v>
      </c>
      <c r="J444" s="5" t="n">
        <v>175.4</v>
      </c>
      <c r="K444" s="3" t="inlineStr">
        <is>
          <t>세종 뷰 좋고 투자가치 좋은 전원주택지</t>
        </is>
      </c>
      <c r="L444" s="6">
        <f>HYPERLINK("https://fin.land.naver.com/articles/2655612769",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미소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산48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60000</v>
      </c>
      <c r="G450" s="4" t="n">
        <v>23802</v>
      </c>
      <c r="H450" s="4" t="n">
        <v>7200</v>
      </c>
      <c r="I450" s="5" t="n">
        <v>8.300000000000001</v>
      </c>
      <c r="J450" s="5" t="n">
        <v>2.6</v>
      </c>
      <c r="K450" s="3" t="inlineStr">
        <is>
          <t>nan</t>
        </is>
      </c>
      <c r="L450" s="6">
        <f>HYPERLINK("https://fin.land.naver.com/articles/2654951927", "매물Link")</f>
        <v/>
      </c>
      <c r="M450" s="6">
        <f>HYPERLINK("https://map.naver.com/p/search/금남면 대박리 산48", "지도Link")</f>
        <v/>
      </c>
      <c r="N450" s="6">
        <f>HYPERLINK("http://www.eum.go.kr/web/ar/lu/luLandDet.jsp?pnu=3611034034200480000&amp;isNoScr=script&amp;mode=search", "토지이음")</f>
        <v/>
      </c>
      <c r="O450" s="3" t="inlineStr">
        <is>
          <t>한마음</t>
        </is>
      </c>
      <c r="P450" s="4" t="n">
        <v>1</v>
      </c>
      <c r="Q450" s="4" t="n">
        <v>23802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103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535</v>
      </c>
      <c r="H451" s="4" t="n">
        <v>162</v>
      </c>
      <c r="I451" s="5" t="n">
        <v>246.9</v>
      </c>
      <c r="J451" s="5" t="n">
        <v>86.09999999999999</v>
      </c>
      <c r="K451" s="3" t="inlineStr">
        <is>
          <t>포장도로접합,뒷쪽토지 공유지로 활용도높음</t>
        </is>
      </c>
      <c r="L451" s="6">
        <f>HYPERLINK("https://fin.land.naver.com/articles/2651681429", "매물Link")</f>
        <v/>
      </c>
      <c r="M451" s="6">
        <f>HYPERLINK("https://map.naver.com/p/search/금남면 도남리 103", "지도Link")</f>
        <v/>
      </c>
      <c r="N451" s="6">
        <f>HYPERLINK("http://www.eum.go.kr/web/ar/lu/luLandDet.jsp?pnu=3611034046101030000&amp;isNoScr=script&amp;mode=search", "토지이음")</f>
        <v/>
      </c>
      <c r="O451" s="3" t="inlineStr">
        <is>
          <t>생생</t>
        </is>
      </c>
      <c r="P451" s="4" t="n">
        <v>2</v>
      </c>
      <c r="Q451" s="4" t="n">
        <v>535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11-2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100000</v>
      </c>
      <c r="G452" s="4" t="n">
        <v>2195</v>
      </c>
      <c r="H452" s="4" t="n">
        <v>664</v>
      </c>
      <c r="I452" s="5" t="n">
        <v>150.6</v>
      </c>
      <c r="J452" s="5" t="n">
        <v>81.7</v>
      </c>
      <c r="K452" s="3" t="inlineStr">
        <is>
          <t>금남면 도남리 계획관리 토지, 2차선 바로 옆으로 진입, 근생 건축</t>
        </is>
      </c>
      <c r="L452" s="6">
        <f>HYPERLINK("https://fin.land.naver.com/articles/2654020877", "매물Link")</f>
        <v/>
      </c>
      <c r="M452" s="6">
        <f>HYPERLINK("https://map.naver.com/p/search/금남면 도남리 11-2", "지도Link")</f>
        <v/>
      </c>
      <c r="N452" s="6">
        <f>HYPERLINK("http://www.eum.go.kr/web/ar/lu/luLandDet.jsp?pnu=3611034046100110002&amp;isNoScr=script&amp;mode=search", "토지이음")</f>
        <v/>
      </c>
      <c r="O452" s="3" t="inlineStr">
        <is>
          <t>스카이</t>
        </is>
      </c>
      <c r="P452" s="4" t="n">
        <v>2</v>
      </c>
      <c r="Q452" s="4" t="n">
        <v>1879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금남면 도남리 114-11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68800</v>
      </c>
      <c r="G453" s="4" t="n">
        <v>650</v>
      </c>
      <c r="H453" s="4" t="n">
        <v>197</v>
      </c>
      <c r="I453" s="5" t="n">
        <v>349.2</v>
      </c>
      <c r="J453" s="5" t="n">
        <v>61.2</v>
      </c>
      <c r="K453" s="3" t="inlineStr">
        <is>
          <t>nan</t>
        </is>
      </c>
      <c r="L453" s="6">
        <f>HYPERLINK("https://fin.land.naver.com/articles/2655264160", "매물Link")</f>
        <v/>
      </c>
      <c r="M453" s="6">
        <f>HYPERLINK("https://map.naver.com/p/search/금남면 도남리 114-11", "지도Link")</f>
        <v/>
      </c>
      <c r="N453" s="6">
        <f>HYPERLINK("http://www.eum.go.kr/web/ar/lu/luLandDet.jsp?pnu=3611034046101140011&amp;isNoScr=script&amp;mode=search", "토지이음")</f>
        <v/>
      </c>
      <c r="O453" s="3" t="inlineStr">
        <is>
          <t>세종</t>
        </is>
      </c>
      <c r="P453" s="4" t="n">
        <v>1</v>
      </c>
      <c r="Q453" s="4" t="n">
        <v>610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정방형</t>
        </is>
      </c>
      <c r="V453" s="3" t="inlineStr">
        <is>
          <t>세로한면(가)</t>
        </is>
      </c>
    </row>
    <row r="454">
      <c r="A454" s="3" t="inlineStr">
        <is>
          <t>금남면 도남리 114-11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68600</v>
      </c>
      <c r="G454" s="4" t="n">
        <v>610</v>
      </c>
      <c r="H454" s="4" t="n">
        <v>185</v>
      </c>
      <c r="I454" s="5" t="n">
        <v>370.8</v>
      </c>
      <c r="J454" s="5" t="n">
        <v>61.2</v>
      </c>
      <c r="K454" s="3" t="inlineStr">
        <is>
          <t>프리미엄 단독주택지 매매 I 금강수목원 영구 조망 I 남향 건축허가 완료</t>
        </is>
      </c>
      <c r="L454" s="6">
        <f>HYPERLINK("https://fin.land.naver.com/articles/2655200566", "매물Link")</f>
        <v/>
      </c>
      <c r="M454" s="6">
        <f>HYPERLINK("https://map.naver.com/p/search/금남면 도남리 114-11", "지도Link")</f>
        <v/>
      </c>
      <c r="N454" s="6">
        <f>HYPERLINK("http://www.eum.go.kr/web/ar/lu/luLandDet.jsp?pnu=3611034046101140011&amp;isNoScr=script&amp;mode=search", "토지이음")</f>
        <v/>
      </c>
      <c r="O454" s="3" t="inlineStr">
        <is>
          <t>세종신한</t>
        </is>
      </c>
      <c r="P454" s="4" t="n">
        <v>1</v>
      </c>
      <c r="Q454" s="4" t="n">
        <v>610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정방형</t>
        </is>
      </c>
      <c r="V454" s="3" t="inlineStr">
        <is>
          <t>세로한면(가)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55000</v>
      </c>
      <c r="G455" s="4" t="n">
        <v>610</v>
      </c>
      <c r="H455" s="4" t="n">
        <v>185</v>
      </c>
      <c r="I455" s="5" t="n">
        <v>297.3</v>
      </c>
      <c r="J455" s="5" t="n">
        <v>61.2</v>
      </c>
      <c r="K455" s="3" t="inlineStr">
        <is>
          <t>nan</t>
        </is>
      </c>
      <c r="L455" s="6">
        <f>HYPERLINK("https://fin.land.naver.com/articles/2653140300",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세종몽땅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116-86</t>
        </is>
      </c>
      <c r="B456" s="3" t="inlineStr">
        <is>
          <t>계획관리지역</t>
        </is>
      </c>
      <c r="C456" s="3" t="inlineStr">
        <is>
          <t>목장용지</t>
        </is>
      </c>
      <c r="D456" s="3" t="inlineStr">
        <is>
          <t>목장용지</t>
        </is>
      </c>
      <c r="E456" s="3" t="inlineStr">
        <is>
          <t>매매</t>
        </is>
      </c>
      <c r="F456" s="4" t="n">
        <v>39000</v>
      </c>
      <c r="G456" s="4" t="n">
        <v>885</v>
      </c>
      <c r="H456" s="4" t="n">
        <v>268</v>
      </c>
      <c r="I456" s="5" t="n">
        <v>145.5</v>
      </c>
      <c r="J456" s="5" t="n">
        <v>33.9</v>
      </c>
      <c r="K456" s="3" t="inlineStr">
        <is>
          <t>금강뷰 건축용지 매매</t>
        </is>
      </c>
      <c r="L456" s="6">
        <f>HYPERLINK("https://fin.land.naver.com/articles/2653195585", "매물Link")</f>
        <v/>
      </c>
      <c r="M456" s="6">
        <f>HYPERLINK("https://map.naver.com/p/search/금남면 도남리 116-86", "지도Link")</f>
        <v/>
      </c>
      <c r="N456" s="6">
        <f>HYPERLINK("http://www.eum.go.kr/web/ar/lu/luLandDet.jsp?pnu=3611034046101160086&amp;isNoScr=script&amp;mode=search",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886</v>
      </c>
      <c r="R456" s="3" t="inlineStr">
        <is>
          <t>지정되지않음</t>
        </is>
      </c>
      <c r="S456" s="3" t="inlineStr">
        <is>
          <t>임야기타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도남리 127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134100</v>
      </c>
      <c r="G457" s="4" t="n">
        <v>2464</v>
      </c>
      <c r="H457" s="4" t="n">
        <v>745</v>
      </c>
      <c r="I457" s="5" t="n">
        <v>180</v>
      </c>
      <c r="J457" s="5" t="n">
        <v>82.8</v>
      </c>
      <c r="K457" s="3" t="inlineStr">
        <is>
          <t>시세대비 저렴 조용하고 아늑한 동네 반듯한 땅</t>
        </is>
      </c>
      <c r="L457" s="6">
        <f>HYPERLINK("https://fin.land.naver.com/articles/2656277035", "매물Link")</f>
        <v/>
      </c>
      <c r="M457" s="6">
        <f>HYPERLINK("https://map.naver.com/p/search/금남면 도남리 127", "지도Link")</f>
        <v/>
      </c>
      <c r="N457" s="6">
        <f>HYPERLINK("http://www.eum.go.kr/web/ar/lu/luLandDet.jsp?pnu=3611034046101270000&amp;isNoScr=script&amp;mode=search", "토지이음")</f>
        <v/>
      </c>
      <c r="O457" s="3" t="inlineStr">
        <is>
          <t>하늘채</t>
        </is>
      </c>
      <c r="P457" s="4" t="n">
        <v>2</v>
      </c>
      <c r="Q457" s="4" t="n">
        <v>2464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145</t>
        </is>
      </c>
      <c r="B458" s="3" t="inlineStr">
        <is>
          <t>보전관리지역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48000</v>
      </c>
      <c r="G458" s="4" t="n">
        <v>1950</v>
      </c>
      <c r="H458" s="4" t="n">
        <v>590</v>
      </c>
      <c r="I458" s="5" t="n">
        <v>81.40000000000001</v>
      </c>
      <c r="J458" s="5" t="n">
        <v>50</v>
      </c>
      <c r="K458" s="3" t="inlineStr">
        <is>
          <t>2차선도로에 바로 접한 넓은 토지</t>
        </is>
      </c>
      <c r="L458" s="6">
        <f>HYPERLINK("https://fin.land.naver.com/articles/2656231086", "매물Link")</f>
        <v/>
      </c>
      <c r="M458" s="6">
        <f>HYPERLINK("https://map.naver.com/p/search/금남면 도남리 145", "지도Link")</f>
        <v/>
      </c>
      <c r="N458" s="6">
        <f>HYPERLINK("http://www.eum.go.kr/web/ar/lu/luLandDet.jsp?pnu=3611034046101450000&amp;isNoScr=script&amp;mode=search", "토지이음")</f>
        <v/>
      </c>
      <c r="O458" s="3" t="inlineStr">
        <is>
          <t>세종제일</t>
        </is>
      </c>
      <c r="P458" s="4" t="n">
        <v>1</v>
      </c>
      <c r="Q458" s="4" t="n">
        <v>1525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145</t>
        </is>
      </c>
      <c r="B459" s="3" t="inlineStr">
        <is>
          <t>보전관리지역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48000</v>
      </c>
      <c r="G459" s="4" t="n">
        <v>1525</v>
      </c>
      <c r="H459" s="4" t="n">
        <v>461</v>
      </c>
      <c r="I459" s="5" t="n">
        <v>104.1</v>
      </c>
      <c r="J459" s="5" t="n">
        <v>50</v>
      </c>
      <c r="K459" s="3" t="inlineStr">
        <is>
          <t>금강의 여유를 품은 힐링 토지,세종 10분내 진입권,도로인접</t>
        </is>
      </c>
      <c r="L459" s="6">
        <f>HYPERLINK("https://fin.land.naver.com/articles/2655601388", "매물Link")</f>
        <v/>
      </c>
      <c r="M459" s="6">
        <f>HYPERLINK("https://map.naver.com/p/search/금남면 도남리 145", "지도Link")</f>
        <v/>
      </c>
      <c r="N459" s="6">
        <f>HYPERLINK("http://www.eum.go.kr/web/ar/lu/luLandDet.jsp?pnu=3611034046101450000&amp;isNoScr=script&amp;mode=search", "토지이음")</f>
        <v/>
      </c>
      <c r="O459" s="3" t="inlineStr">
        <is>
          <t>가치잇는</t>
        </is>
      </c>
      <c r="P459" s="4" t="n">
        <v>3</v>
      </c>
      <c r="Q459" s="4" t="n">
        <v>1525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도남리 192-13</t>
        </is>
      </c>
      <c r="B460" s="3" t="inlineStr">
        <is>
          <t>보전관리지역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67000</v>
      </c>
      <c r="G460" s="4" t="n">
        <v>578</v>
      </c>
      <c r="H460" s="4" t="n">
        <v>175</v>
      </c>
      <c r="I460" s="5" t="n">
        <v>382.9</v>
      </c>
      <c r="J460" s="5" t="n">
        <v>95.2</v>
      </c>
      <c r="K460" s="3" t="inlineStr">
        <is>
          <t>nan</t>
        </is>
      </c>
      <c r="L460" s="6">
        <f>HYPERLINK("https://fin.land.naver.com/articles/2651585595", "매물Link")</f>
        <v/>
      </c>
      <c r="M460" s="6">
        <f>HYPERLINK("https://map.naver.com/p/search/금남면 도남리 192-13", "지도Link")</f>
        <v/>
      </c>
      <c r="N460" s="6">
        <f>HYPERLINK("http://www.eum.go.kr/web/ar/lu/luLandDet.jsp?pnu=3611034046101920013&amp;isNoScr=script&amp;mode=search", "토지이음")</f>
        <v/>
      </c>
      <c r="O460" s="3" t="inlineStr">
        <is>
          <t>세종몽땅</t>
        </is>
      </c>
      <c r="P460" s="4" t="n">
        <v>1</v>
      </c>
      <c r="Q460" s="4" t="n">
        <v>578</v>
      </c>
      <c r="R460" s="3" t="inlineStr">
        <is>
          <t>지정되지않음</t>
        </is>
      </c>
      <c r="S460" s="3" t="inlineStr">
        <is>
          <t>주거기타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도남리 192-13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59500</v>
      </c>
      <c r="G461" s="4" t="n">
        <v>687</v>
      </c>
      <c r="H461" s="4" t="n">
        <v>208</v>
      </c>
      <c r="I461" s="5" t="n">
        <v>286.1</v>
      </c>
      <c r="J461" s="5" t="n">
        <v>95.2</v>
      </c>
      <c r="K461" s="3" t="inlineStr">
        <is>
          <t>세종시 금남면 토지 건물 매매 2종근생 사무실 포함</t>
        </is>
      </c>
      <c r="L461" s="6">
        <f>HYPERLINK("https://fin.land.naver.com/articles/2654033490", "매물Link")</f>
        <v/>
      </c>
      <c r="M461" s="6">
        <f>HYPERLINK("https://map.naver.com/p/search/금남면 도남리 192-13", "지도Link")</f>
        <v/>
      </c>
      <c r="N461" s="6">
        <f>HYPERLINK("http://www.eum.go.kr/web/ar/lu/luLandDet.jsp?pnu=3611034046101920013&amp;isNoScr=script&amp;mode=search", "토지이음")</f>
        <v/>
      </c>
      <c r="O461" s="3" t="inlineStr">
        <is>
          <t>THE행복</t>
        </is>
      </c>
      <c r="P461" s="4" t="n">
        <v>1</v>
      </c>
      <c r="Q461" s="4" t="n">
        <v>578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도남리 205-6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81500</v>
      </c>
      <c r="G462" s="4" t="n">
        <v>998</v>
      </c>
      <c r="H462" s="4" t="n">
        <v>302</v>
      </c>
      <c r="I462" s="5" t="n">
        <v>269.9</v>
      </c>
      <c r="J462" s="5" t="n">
        <v>172.7</v>
      </c>
      <c r="K462" s="3" t="inlineStr">
        <is>
          <t>생명나무, 대,  금강조망 주택지 추천드려요</t>
        </is>
      </c>
      <c r="L462" s="6">
        <f>HYPERLINK("https://fin.land.naver.com/articles/2655974486", "매물Link")</f>
        <v/>
      </c>
      <c r="M462" s="6">
        <f>HYPERLINK("https://map.naver.com/p/search/금남면 도남리 205-6", "지도Link")</f>
        <v/>
      </c>
      <c r="N462" s="6">
        <f>HYPERLINK("http://www.eum.go.kr/web/ar/lu/luLandDet.jsp?pnu=3611034046102050006&amp;isNoScr=script&amp;mode=search", "토지이음")</f>
        <v/>
      </c>
      <c r="O462" s="3" t="inlineStr">
        <is>
          <t>생명나무</t>
        </is>
      </c>
      <c r="P462" s="4" t="n">
        <v>1</v>
      </c>
      <c r="Q462" s="4" t="n">
        <v>815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완경사</t>
        </is>
      </c>
      <c r="U462" s="3" t="inlineStr">
        <is>
          <t>정방형</t>
        </is>
      </c>
      <c r="V462" s="3" t="inlineStr">
        <is>
          <t>세로한면(가)</t>
        </is>
      </c>
    </row>
    <row r="463">
      <c r="A463" s="3" t="inlineStr">
        <is>
          <t>금남면 도남리 229</t>
        </is>
      </c>
      <c r="B463" s="3" t="inlineStr">
        <is>
          <t>보전관리지역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130000</v>
      </c>
      <c r="G463" s="4" t="n">
        <v>5831</v>
      </c>
      <c r="H463" s="4" t="n">
        <v>1764</v>
      </c>
      <c r="I463" s="5" t="n">
        <v>73.7</v>
      </c>
      <c r="J463" s="5" t="n">
        <v>25.3</v>
      </c>
      <c r="K463" s="3" t="inlineStr">
        <is>
          <t>연접2필지 일괄매도, 투자추천, 직사각형 답, 조율가능</t>
        </is>
      </c>
      <c r="L463" s="6">
        <f>HYPERLINK("https://fin.land.naver.com/articles/2652812174", "매물Link")</f>
        <v/>
      </c>
      <c r="M463" s="6">
        <f>HYPERLINK("https://map.naver.com/p/search/금남면 도남리 229", "지도Link")</f>
        <v/>
      </c>
      <c r="N463" s="6">
        <f>HYPERLINK("http://www.eum.go.kr/web/ar/lu/luLandDet.jsp?pnu=3611034046102290000&amp;isNoScr=script&amp;mode=search", "토지이음")</f>
        <v/>
      </c>
      <c r="O463" s="3" t="inlineStr">
        <is>
          <t>생생</t>
        </is>
      </c>
      <c r="P463" s="4" t="n">
        <v>1</v>
      </c>
      <c r="Q463" s="4" t="n">
        <v>3760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금남면 도남리 306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1551</v>
      </c>
      <c r="H464" s="4" t="n">
        <v>469</v>
      </c>
      <c r="I464" s="5" t="n">
        <v>213.2</v>
      </c>
      <c r="J464" s="5" t="n">
        <v>140.4</v>
      </c>
      <c r="K464" s="3" t="inlineStr">
        <is>
          <t>대 포함 3필지 계획관리지역 일괄매매</t>
        </is>
      </c>
      <c r="L464" s="6">
        <f>HYPERLINK("https://fin.land.naver.com/articles/2655134475", "매물Link")</f>
        <v/>
      </c>
      <c r="M464" s="6">
        <f>HYPERLINK("https://map.naver.com/p/search/금남면 도남리 306", "지도Link")</f>
        <v/>
      </c>
      <c r="N464" s="6">
        <f>HYPERLINK("http://www.eum.go.kr/web/ar/lu/luLandDet.jsp?pnu=3611034046103060000&amp;isNoScr=script&amp;mode=search", "토지이음")</f>
        <v/>
      </c>
      <c r="O464" s="3" t="inlineStr">
        <is>
          <t>세종몽땅</t>
        </is>
      </c>
      <c r="P464" s="4" t="n">
        <v>1</v>
      </c>
      <c r="Q464" s="4" t="n">
        <v>200</v>
      </c>
      <c r="R464" s="3" t="inlineStr">
        <is>
          <t>지정되지않음</t>
        </is>
      </c>
      <c r="S464" s="3" t="inlineStr">
        <is>
          <t>단독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금남면 도남리 308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95000</v>
      </c>
      <c r="G465" s="4" t="n">
        <v>1551</v>
      </c>
      <c r="H465" s="4" t="n">
        <v>469</v>
      </c>
      <c r="I465" s="5" t="n">
        <v>202.6</v>
      </c>
      <c r="J465" s="5" t="n">
        <v>79</v>
      </c>
      <c r="K465" s="3" t="inlineStr">
        <is>
          <t>급매 주변에 카폐,전원주택들이 있고,세종 청사 10분거리,진입도로있음</t>
        </is>
      </c>
      <c r="L465" s="6">
        <f>HYPERLINK("https://fin.land.naver.com/articles/2651967655", "매물Link")</f>
        <v/>
      </c>
      <c r="M465" s="6">
        <f>HYPERLINK("https://map.naver.com/p/search/금남면 도남리 308", "지도Link")</f>
        <v/>
      </c>
      <c r="N465" s="6">
        <f>HYPERLINK("http://www.eum.go.kr/web/ar/lu/luLandDet.jsp?pnu=3611034046103080000&amp;isNoScr=script&amp;mode=search", "토지이음")</f>
        <v/>
      </c>
      <c r="O465" s="3" t="inlineStr">
        <is>
          <t>그린영광</t>
        </is>
      </c>
      <c r="P465" s="4" t="n">
        <v>1</v>
      </c>
      <c r="Q465" s="4" t="n">
        <v>1252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금남면 도남리 4-24</t>
        </is>
      </c>
      <c r="B466" s="3" t="inlineStr">
        <is>
          <t>보전관리지역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65000</v>
      </c>
      <c r="G466" s="4" t="n">
        <v>1070</v>
      </c>
      <c r="H466" s="4" t="n">
        <v>324</v>
      </c>
      <c r="I466" s="5" t="n">
        <v>200.6</v>
      </c>
      <c r="J466" s="5" t="n">
        <v>55.4</v>
      </c>
      <c r="K466" s="3" t="inlineStr">
        <is>
          <t>구산림박물관 인근 근생시설부지 매매</t>
        </is>
      </c>
      <c r="L466" s="6">
        <f>HYPERLINK("https://fin.land.naver.com/articles/2654823444", "매물Link")</f>
        <v/>
      </c>
      <c r="M466" s="6">
        <f>HYPERLINK("https://map.naver.com/p/search/금남면 도남리 4-24", "지도Link")</f>
        <v/>
      </c>
      <c r="N466" s="6">
        <f>HYPERLINK("http://www.eum.go.kr/web/ar/lu/luLandDet.jsp?pnu=3611034046100040024&amp;isNoScr=script&amp;mode=search", "토지이음")</f>
        <v/>
      </c>
      <c r="O466" s="3" t="inlineStr">
        <is>
          <t>세종비전행정사</t>
        </is>
      </c>
      <c r="P466" s="4" t="n">
        <v>1</v>
      </c>
      <c r="Q466" s="4" t="n">
        <v>1070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금남면 도남리 4-25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대</t>
        </is>
      </c>
      <c r="E467" s="3" t="inlineStr">
        <is>
          <t>매매</t>
        </is>
      </c>
      <c r="F467" s="4" t="n">
        <v>52000</v>
      </c>
      <c r="G467" s="4" t="n">
        <v>850</v>
      </c>
      <c r="H467" s="4" t="n">
        <v>257</v>
      </c>
      <c r="I467" s="5" t="n">
        <v>202.3</v>
      </c>
      <c r="J467" s="5" t="n">
        <v>55.4</v>
      </c>
      <c r="K467" s="3" t="inlineStr">
        <is>
          <t>구산림박물관 인근 토목공사 완료된 근생시설부지 매매</t>
        </is>
      </c>
      <c r="L467" s="6">
        <f>HYPERLINK("https://fin.land.naver.com/articles/2654822490", "매물Link")</f>
        <v/>
      </c>
      <c r="M467" s="6">
        <f>HYPERLINK("https://map.naver.com/p/search/금남면 도남리 4-25", "지도Link")</f>
        <v/>
      </c>
      <c r="N467" s="6">
        <f>HYPERLINK("http://www.eum.go.kr/web/ar/lu/luLandDet.jsp?pnu=3611034046100040025&amp;isNoScr=script&amp;mode=search",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850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4-26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69000</v>
      </c>
      <c r="G468" s="4" t="n">
        <v>987</v>
      </c>
      <c r="H468" s="4" t="n">
        <v>299</v>
      </c>
      <c r="I468" s="5" t="n">
        <v>230.8</v>
      </c>
      <c r="J468" s="5" t="n">
        <v>55.4</v>
      </c>
      <c r="K468" s="3" t="inlineStr">
        <is>
          <t>구 산림박물관 인근 카페 등 근생시설 부지 매매</t>
        </is>
      </c>
      <c r="L468" s="6">
        <f>HYPERLINK("https://fin.land.naver.com/articles/2654823439", "매물Link")</f>
        <v/>
      </c>
      <c r="M468" s="6">
        <f>HYPERLINK("https://map.naver.com/p/search/금남면 도남리 4-26", "지도Link")</f>
        <v/>
      </c>
      <c r="N468" s="6">
        <f>HYPERLINK("http://www.eum.go.kr/web/ar/lu/luLandDet.jsp?pnu=3611034046100040026&amp;isNoScr=script&amp;mode=search",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6-4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30000</v>
      </c>
      <c r="G469" s="4" t="n">
        <v>493</v>
      </c>
      <c r="H469" s="4" t="n">
        <v>149</v>
      </c>
      <c r="I469" s="5" t="n">
        <v>201.3</v>
      </c>
      <c r="J469" s="5" t="n">
        <v>136.1</v>
      </c>
      <c r="K469" s="3" t="inlineStr">
        <is>
          <t>금강수목원인접토지.가격조정가능</t>
        </is>
      </c>
      <c r="L469" s="6">
        <f>HYPERLINK("https://fin.land.naver.com/articles/2653273866", "매물Link")</f>
        <v/>
      </c>
      <c r="M469" s="6">
        <f>HYPERLINK("https://map.naver.com/p/search/금남면 도남리 6-4", "지도Link")</f>
        <v/>
      </c>
      <c r="N469" s="6">
        <f>HYPERLINK("http://www.eum.go.kr/web/ar/lu/luLandDet.jsp?pnu=3611034046100060004&amp;isNoScr=script&amp;mode=search", "토지이음")</f>
        <v/>
      </c>
      <c r="O469" s="3" t="inlineStr">
        <is>
          <t>늘봄</t>
        </is>
      </c>
      <c r="P469" s="4" t="n">
        <v>1</v>
      </c>
      <c r="Q469" s="4" t="n">
        <v>493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금남면 도남리 82-1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46000</v>
      </c>
      <c r="G470" s="4" t="n">
        <v>662</v>
      </c>
      <c r="H470" s="4" t="n">
        <v>200</v>
      </c>
      <c r="I470" s="5" t="n">
        <v>230</v>
      </c>
      <c r="J470" s="5" t="n">
        <v>54.8</v>
      </c>
      <c r="K470" s="3" t="inlineStr">
        <is>
          <t>2차선도로변 토지</t>
        </is>
      </c>
      <c r="L470" s="6">
        <f>HYPERLINK("https://fin.land.naver.com/articles/2654445809", "매물Link")</f>
        <v/>
      </c>
      <c r="M470" s="6">
        <f>HYPERLINK("https://map.naver.com/p/search/금남면 도남리 82-1", "지도Link")</f>
        <v/>
      </c>
      <c r="N470" s="6">
        <f>HYPERLINK("http://www.eum.go.kr/web/ar/lu/luLandDet.jsp?pnu=3611034046100820001&amp;isNoScr=script&amp;mode=search", "토지이음")</f>
        <v/>
      </c>
      <c r="O470" s="3" t="inlineStr">
        <is>
          <t>the다올</t>
        </is>
      </c>
      <c r="P470" s="4" t="n">
        <v>2</v>
      </c>
      <c r="Q470" s="4" t="n">
        <v>662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도남리 84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46400</v>
      </c>
      <c r="G471" s="4" t="n">
        <v>1279</v>
      </c>
      <c r="H471" s="4" t="n">
        <v>387</v>
      </c>
      <c r="I471" s="5" t="n">
        <v>119.9</v>
      </c>
      <c r="J471" s="5" t="n">
        <v>61.9</v>
      </c>
      <c r="K471" s="3" t="inlineStr">
        <is>
          <t>금남면 도남리 2차선변 보전관리 토지, 금강수목원 인근, 불티교 통함</t>
        </is>
      </c>
      <c r="L471" s="6">
        <f>HYPERLINK("https://fin.land.naver.com/articles/2654021490", "매물Link")</f>
        <v/>
      </c>
      <c r="M471" s="6">
        <f>HYPERLINK("https://map.naver.com/p/search/금남면 도남리 84", "지도Link")</f>
        <v/>
      </c>
      <c r="N471" s="6">
        <f>HYPERLINK("http://www.eum.go.kr/web/ar/lu/luLandDet.jsp?pnu=3611034046100840000&amp;isNoScr=script&amp;mode=search", "토지이음")</f>
        <v/>
      </c>
      <c r="O471" s="3" t="inlineStr">
        <is>
          <t>스카이</t>
        </is>
      </c>
      <c r="P471" s="4" t="n">
        <v>1</v>
      </c>
      <c r="Q471" s="4" t="n">
        <v>1279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96-1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25000</v>
      </c>
      <c r="G472" s="4" t="n">
        <v>520</v>
      </c>
      <c r="H472" s="4" t="n">
        <v>157</v>
      </c>
      <c r="I472" s="5" t="n">
        <v>159.2</v>
      </c>
      <c r="J472" s="5" t="n">
        <v>86.2</v>
      </c>
      <c r="K472" s="3" t="inlineStr">
        <is>
          <t>금남면 도남리 계획관리 토지, 도로접, 농막 및 체류형 쉼터, 투자용</t>
        </is>
      </c>
      <c r="L472" s="6">
        <f>HYPERLINK("https://fin.land.naver.com/articles/2654021617", "매물Link")</f>
        <v/>
      </c>
      <c r="M472" s="6">
        <f>HYPERLINK("https://map.naver.com/p/search/금남면 도남리 96-1", "지도Link")</f>
        <v/>
      </c>
      <c r="N472" s="6">
        <f>HYPERLINK("http://www.eum.go.kr/web/ar/lu/luLandDet.jsp?pnu=3611034046100960001&amp;isNoScr=script&amp;mode=search",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520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도남리 99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37000</v>
      </c>
      <c r="G473" s="4" t="n">
        <v>539</v>
      </c>
      <c r="H473" s="4" t="n">
        <v>163</v>
      </c>
      <c r="I473" s="5" t="n">
        <v>227</v>
      </c>
      <c r="J473" s="5" t="n">
        <v>126.7</v>
      </c>
      <c r="K473" s="3" t="inlineStr">
        <is>
          <t>대지 건축가능 남동향 급매물</t>
        </is>
      </c>
      <c r="L473" s="6">
        <f>HYPERLINK("https://fin.land.naver.com/articles/2655910156", "매물Link")</f>
        <v/>
      </c>
      <c r="M473" s="6">
        <f>HYPERLINK("https://map.naver.com/p/search/금남면 도남리 99", "지도Link")</f>
        <v/>
      </c>
      <c r="N473" s="6">
        <f>HYPERLINK("http://www.eum.go.kr/web/ar/lu/luLandDet.jsp?pnu=3611034046100990000&amp;isNoScr=script&amp;mode=search", "토지이음")</f>
        <v/>
      </c>
      <c r="O473" s="3" t="inlineStr">
        <is>
          <t>신현대</t>
        </is>
      </c>
      <c r="P473" s="4" t="n">
        <v>1</v>
      </c>
      <c r="Q473" s="4" t="n">
        <v>539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산9-1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3100000</v>
      </c>
      <c r="G474" s="4" t="n">
        <v>50987</v>
      </c>
      <c r="H474" s="4" t="n">
        <v>15424</v>
      </c>
      <c r="I474" s="5" t="n">
        <v>201</v>
      </c>
      <c r="J474" s="5" t="n">
        <v>20.5</v>
      </c>
      <c r="K474" s="3" t="inlineStr">
        <is>
          <t>도남리 금강조망 나오는 타운하우스 개발용 토지매매</t>
        </is>
      </c>
      <c r="L474" s="6">
        <f>HYPERLINK("https://fin.land.naver.com/articles/2655176538", "매물Link")</f>
        <v/>
      </c>
      <c r="M474" s="6">
        <f>HYPERLINK("https://map.naver.com/p/search/금남면 도남리 산9-1", "지도Link")</f>
        <v/>
      </c>
      <c r="N474" s="6">
        <f>HYPERLINK("http://www.eum.go.kr/web/ar/lu/luLandDet.jsp?pnu=3611034046200090001&amp;isNoScr=script&amp;mode=search", "토지이음")</f>
        <v/>
      </c>
      <c r="O474" s="3" t="inlineStr">
        <is>
          <t>에이스</t>
        </is>
      </c>
      <c r="P474" s="4" t="n">
        <v>1</v>
      </c>
      <c r="Q474" s="4" t="n">
        <v>10500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금남면 도암리 101-2</t>
        </is>
      </c>
      <c r="B475" s="3" t="inlineStr">
        <is>
          <t>농림지역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300000</v>
      </c>
      <c r="G475" s="4" t="n">
        <v>2059</v>
      </c>
      <c r="H475" s="4" t="n">
        <v>623</v>
      </c>
      <c r="I475" s="5" t="n">
        <v>481.5</v>
      </c>
      <c r="J475" s="5" t="n">
        <v>53.5</v>
      </c>
      <c r="K475" s="3" t="inlineStr">
        <is>
          <t>도로연접한 귀한 가치가 있는 땅</t>
        </is>
      </c>
      <c r="L475" s="6">
        <f>HYPERLINK("https://fin.land.naver.com/articles/2650857286", "매물Link")</f>
        <v/>
      </c>
      <c r="M475" s="6">
        <f>HYPERLINK("https://map.naver.com/p/search/금남면 도암리 101-2", "지도Link")</f>
        <v/>
      </c>
      <c r="N475" s="6">
        <f>HYPERLINK("http://www.eum.go.kr/web/ar/lu/luLandDet.jsp?pnu=3611034039101010002&amp;isNoScr=script&amp;mode=search", "토지이음")</f>
        <v/>
      </c>
      <c r="O475" s="3" t="inlineStr">
        <is>
          <t>금돼지</t>
        </is>
      </c>
      <c r="P475" s="4" t="n">
        <v>1</v>
      </c>
      <c r="Q475" s="4" t="n">
        <v>2059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218</t>
        </is>
      </c>
      <c r="B476" s="3" t="inlineStr">
        <is>
          <t>생산관리지역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21000</v>
      </c>
      <c r="G476" s="4" t="n">
        <v>717</v>
      </c>
      <c r="H476" s="4" t="n">
        <v>217</v>
      </c>
      <c r="I476" s="5" t="n">
        <v>96.8</v>
      </c>
      <c r="J476" s="5" t="n">
        <v>71.8</v>
      </c>
      <c r="K476" s="3" t="inlineStr">
        <is>
          <t>마을앞 접근성 좋은 토지</t>
        </is>
      </c>
      <c r="L476" s="6">
        <f>HYPERLINK("https://fin.land.naver.com/articles/2653352226", "매물Link")</f>
        <v/>
      </c>
      <c r="M476" s="6">
        <f>HYPERLINK("https://map.naver.com/p/search/금남면 도암리 218", "지도Link")</f>
        <v/>
      </c>
      <c r="N476" s="6">
        <f>HYPERLINK("http://www.eum.go.kr/web/ar/lu/luLandDet.jsp?pnu=3611034039102180000&amp;isNoScr=script&amp;mode=search", "토지이음")</f>
        <v/>
      </c>
      <c r="O476" s="3" t="inlineStr">
        <is>
          <t>꽃피는산골  사무소</t>
        </is>
      </c>
      <c r="P476" s="4" t="n">
        <v>1</v>
      </c>
      <c r="Q476" s="4" t="n">
        <v>717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226-2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107000</v>
      </c>
      <c r="G477" s="4" t="n">
        <v>1770</v>
      </c>
      <c r="H477" s="4" t="n">
        <v>535</v>
      </c>
      <c r="I477" s="5" t="n">
        <v>200</v>
      </c>
      <c r="J477" s="5" t="n">
        <v>63.1</v>
      </c>
      <c r="K477" s="3" t="inlineStr">
        <is>
          <t>금남면 도암리 토지 전. 생산관리지역</t>
        </is>
      </c>
      <c r="L477" s="6">
        <f>HYPERLINK("https://fin.land.naver.com/articles/2655584647", "매물Link")</f>
        <v/>
      </c>
      <c r="M477" s="6">
        <f>HYPERLINK("https://map.naver.com/p/search/금남면 도암리 226-2", "지도Link")</f>
        <v/>
      </c>
      <c r="N477" s="6">
        <f>HYPERLINK("http://www.eum.go.kr/web/ar/lu/luLandDet.jsp?pnu=3611034039102260002&amp;isNoScr=script&amp;mode=search", "토지이음")</f>
        <v/>
      </c>
      <c r="O477" s="3" t="inlineStr">
        <is>
          <t>새롬삼둥이</t>
        </is>
      </c>
      <c r="P477" s="4" t="n">
        <v>1</v>
      </c>
      <c r="Q477" s="4" t="n">
        <v>1770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245-1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151000</v>
      </c>
      <c r="G478" s="4" t="n">
        <v>3444</v>
      </c>
      <c r="H478" s="4" t="n">
        <v>1042</v>
      </c>
      <c r="I478" s="5" t="n">
        <v>144.9</v>
      </c>
      <c r="J478" s="5" t="n">
        <v>66.59999999999999</v>
      </c>
      <c r="K478" s="3" t="inlineStr">
        <is>
          <t>급매 도암리 최저가 귀한매물</t>
        </is>
      </c>
      <c r="L478" s="6">
        <f>HYPERLINK("https://fin.land.naver.com/articles/2654857361", "매물Link")</f>
        <v/>
      </c>
      <c r="M478" s="6">
        <f>HYPERLINK("https://map.naver.com/p/search/금남면 도암리 245-1", "지도Link")</f>
        <v/>
      </c>
      <c r="N478" s="6">
        <f>HYPERLINK("http://www.eum.go.kr/web/ar/lu/luLandDet.jsp?pnu=3611034039102450001&amp;isNoScr=script&amp;mode=search",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1745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161400</v>
      </c>
      <c r="G479" s="4" t="n">
        <v>3444</v>
      </c>
      <c r="H479" s="4" t="n">
        <v>1042</v>
      </c>
      <c r="I479" s="5" t="n">
        <v>154.9</v>
      </c>
      <c r="J479" s="5" t="n">
        <v>66.59999999999999</v>
      </c>
      <c r="K479" s="3" t="inlineStr">
        <is>
          <t>도암리 마을회관앞 주위 단독주택 소재하는곳</t>
        </is>
      </c>
      <c r="L479" s="6">
        <f>HYPERLINK("https://fin.land.naver.com/articles/2651041749",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원내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155000</v>
      </c>
      <c r="G480" s="4" t="n">
        <v>3444</v>
      </c>
      <c r="H480" s="4" t="n">
        <v>1042</v>
      </c>
      <c r="I480" s="5" t="n">
        <v>148.8</v>
      </c>
      <c r="J480" s="5" t="n">
        <v>66.59999999999999</v>
      </c>
      <c r="K480" s="3" t="inlineStr">
        <is>
          <t>세종 3생활권 인접 금남면 도암리 성장관리구역 토지</t>
        </is>
      </c>
      <c r="L480" s="6">
        <f>HYPERLINK("https://fin.land.naver.com/articles/2654605971",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미래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275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35000</v>
      </c>
      <c r="G481" s="4" t="n">
        <v>566</v>
      </c>
      <c r="H481" s="4" t="n">
        <v>171</v>
      </c>
      <c r="I481" s="5" t="n">
        <v>204.7</v>
      </c>
      <c r="J481" s="5" t="n">
        <v>135.2</v>
      </c>
      <c r="K481" s="3" t="inlineStr">
        <is>
          <t>계획관리지역, 세종시 개발의 중심, KTX세종역 예정지 인접</t>
        </is>
      </c>
      <c r="L481" s="6">
        <f>HYPERLINK("https://fin.land.naver.com/articles/2654505675", "매물Link")</f>
        <v/>
      </c>
      <c r="M481" s="6">
        <f>HYPERLINK("https://map.naver.com/p/search/금남면 도암리 275", "지도Link")</f>
        <v/>
      </c>
      <c r="N481" s="6">
        <f>HYPERLINK("http://www.eum.go.kr/web/ar/lu/luLandDet.jsp?pnu=3611034039102750000&amp;isNoScr=script&amp;mode=search", "토지이음")</f>
        <v/>
      </c>
      <c r="O481" s="3" t="inlineStr">
        <is>
          <t>세종</t>
        </is>
      </c>
      <c r="P481" s="4" t="n">
        <v>1</v>
      </c>
      <c r="Q481" s="4" t="n">
        <v>566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353-10</t>
        </is>
      </c>
      <c r="B482" s="3" t="inlineStr">
        <is>
          <t>생산관리지역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25000</v>
      </c>
      <c r="G482" s="4" t="n">
        <v>1324</v>
      </c>
      <c r="H482" s="4" t="n">
        <v>401</v>
      </c>
      <c r="I482" s="5" t="n">
        <v>62.3</v>
      </c>
      <c r="J482" s="5" t="n">
        <v>62.3</v>
      </c>
      <c r="K482" s="3" t="inlineStr">
        <is>
          <t>성장관리계획구역내 저렴토지</t>
        </is>
      </c>
      <c r="L482" s="6">
        <f>HYPERLINK("https://fin.land.naver.com/articles/2653461765", "매물Link")</f>
        <v/>
      </c>
      <c r="M482" s="6">
        <f>HYPERLINK("https://map.naver.com/p/search/금남면 도암리 353-10", "지도Link")</f>
        <v/>
      </c>
      <c r="N482" s="6">
        <f>HYPERLINK("http://www.eum.go.kr/web/ar/lu/luLandDet.jsp?pnu=3611034039103530010&amp;isNoScr=script&amp;mode=search", "토지이음")</f>
        <v/>
      </c>
      <c r="O482" s="3" t="inlineStr">
        <is>
          <t>세종금밭</t>
        </is>
      </c>
      <c r="P482" s="4" t="n">
        <v>1</v>
      </c>
      <c r="Q482" s="4" t="n">
        <v>1324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도암리 353-4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200000</v>
      </c>
      <c r="G483" s="4" t="n">
        <v>5284</v>
      </c>
      <c r="H483" s="4" t="n">
        <v>1598</v>
      </c>
      <c r="I483" s="5" t="n">
        <v>125.2</v>
      </c>
      <c r="J483" s="5" t="n">
        <v>27.9</v>
      </c>
      <c r="K483" s="3" t="inlineStr">
        <is>
          <t>KTX세종역과 근접한 야산으로 생산관리지역 성장관리계획구역의 투자용 토지</t>
        </is>
      </c>
      <c r="L483" s="6">
        <f>HYPERLINK("https://fin.land.naver.com/articles/2653002374", "매물Link")</f>
        <v/>
      </c>
      <c r="M483" s="6">
        <f>HYPERLINK("https://map.naver.com/p/search/금남면 도암리 353-4", "지도Link")</f>
        <v/>
      </c>
      <c r="N483" s="6">
        <f>HYPERLINK("http://www.eum.go.kr/web/ar/lu/luLandDet.jsp?pnu=3611034039103530004&amp;isNoScr=script&amp;mode=search", "토지이음")</f>
        <v/>
      </c>
      <c r="O483" s="3" t="inlineStr">
        <is>
          <t>스마일세종</t>
        </is>
      </c>
      <c r="P483" s="4" t="n">
        <v>1</v>
      </c>
      <c r="Q483" s="4" t="n">
        <v>5284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518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3590</v>
      </c>
      <c r="H484" s="4" t="n">
        <v>1086</v>
      </c>
      <c r="I484" s="5" t="n">
        <v>110.5</v>
      </c>
      <c r="J484" s="5" t="n">
        <v>57.4</v>
      </c>
      <c r="K484" s="3" t="inlineStr">
        <is>
          <t>인기있는 도암리 토지 계획관리지역</t>
        </is>
      </c>
      <c r="L484" s="6">
        <f>HYPERLINK("https://fin.land.naver.com/articles/2651893606", "매물Link")</f>
        <v/>
      </c>
      <c r="M484" s="6">
        <f>HYPERLINK("https://map.naver.com/p/search/금남면 도암리 518", "지도Link")</f>
        <v/>
      </c>
      <c r="N484" s="6">
        <f>HYPERLINK("http://www.eum.go.kr/web/ar/lu/luLandDet.jsp?pnu=3611034039105180000&amp;isNoScr=script&amp;mode=search",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3590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금남면 도암리 561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61000</v>
      </c>
      <c r="G485" s="4" t="n">
        <v>2357</v>
      </c>
      <c r="H485" s="4" t="n">
        <v>713</v>
      </c>
      <c r="I485" s="5" t="n">
        <v>85.59999999999999</v>
      </c>
      <c r="J485" s="5" t="n">
        <v>35.1</v>
      </c>
      <c r="K485" s="3" t="inlineStr">
        <is>
          <t>0매우 저렴0, 세종 10분, 대전 10분 거리의 인기 지역 토지</t>
        </is>
      </c>
      <c r="L485" s="6">
        <f>HYPERLINK("https://fin.land.naver.com/articles/2652082064", "매물Link")</f>
        <v/>
      </c>
      <c r="M485" s="6">
        <f>HYPERLINK("https://map.naver.com/p/search/금남면 도암리 561", "지도Link")</f>
        <v/>
      </c>
      <c r="N485" s="6">
        <f>HYPERLINK("http://www.eum.go.kr/web/ar/lu/luLandDet.jsp?pnu=3611034039105610000&amp;isNoScr=script&amp;mode=search", "토지이음")</f>
        <v/>
      </c>
      <c r="O485" s="3" t="inlineStr">
        <is>
          <t>허브</t>
        </is>
      </c>
      <c r="P485" s="4" t="n">
        <v>1</v>
      </c>
      <c r="Q485" s="4" t="n">
        <v>2357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도암리 602</t>
        </is>
      </c>
      <c r="B486" s="3" t="inlineStr">
        <is>
          <t>생산관리지역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65000</v>
      </c>
      <c r="G486" s="4" t="n">
        <v>1719</v>
      </c>
      <c r="H486" s="4" t="n">
        <v>520</v>
      </c>
      <c r="I486" s="5" t="n">
        <v>125</v>
      </c>
      <c r="J486" s="5" t="n">
        <v>52.1</v>
      </c>
      <c r="K486" s="3" t="inlineStr">
        <is>
          <t>도로 접근성이 우수한 토지로 이용가치가 다양한 토지임</t>
        </is>
      </c>
      <c r="L486" s="6">
        <f>HYPERLINK("https://fin.land.naver.com/articles/2651091837", "매물Link")</f>
        <v/>
      </c>
      <c r="M486" s="6">
        <f>HYPERLINK("https://map.naver.com/p/search/금남면 도암리 602", "지도Link")</f>
        <v/>
      </c>
      <c r="N486" s="6">
        <f>HYPERLINK("http://www.eum.go.kr/web/ar/lu/luLandDet.jsp?pnu=3611034039106020000&amp;isNoScr=script&amp;mode=search", "토지이음")</f>
        <v/>
      </c>
      <c r="O486" s="3" t="inlineStr">
        <is>
          <t>태평양</t>
        </is>
      </c>
      <c r="P486" s="4" t="n">
        <v>1</v>
      </c>
      <c r="Q486" s="4" t="n">
        <v>1719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세로한면(불)</t>
        </is>
      </c>
    </row>
    <row r="487">
      <c r="A487" s="3" t="inlineStr">
        <is>
          <t>금남면 도암리 610-3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11000</v>
      </c>
      <c r="G487" s="4" t="n">
        <v>585</v>
      </c>
      <c r="H487" s="4" t="n">
        <v>177</v>
      </c>
      <c r="I487" s="5" t="n">
        <v>62.1</v>
      </c>
      <c r="J487" s="5" t="n">
        <v>53.7</v>
      </c>
      <c r="K487" s="3" t="inlineStr">
        <is>
          <t>도암리 생산관리지역 지목이 전으로 2필지 급매.</t>
        </is>
      </c>
      <c r="L487" s="6">
        <f>HYPERLINK("https://fin.land.naver.com/articles/2652535872", "매물Link")</f>
        <v/>
      </c>
      <c r="M487" s="6">
        <f>HYPERLINK("https://map.naver.com/p/search/금남면 도암리 610-3", "지도Link")</f>
        <v/>
      </c>
      <c r="N487" s="6">
        <f>HYPERLINK("http://www.eum.go.kr/web/ar/lu/luLandDet.jsp?pnu=3611034039106100003&amp;isNoScr=script&amp;mode=search", "토지이음")</f>
        <v/>
      </c>
      <c r="O487" s="3" t="inlineStr">
        <is>
          <t>세종대장</t>
        </is>
      </c>
      <c r="P487" s="4" t="n">
        <v>1</v>
      </c>
      <c r="Q487" s="4" t="n">
        <v>407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두만리 124-1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100000</v>
      </c>
      <c r="G488" s="4" t="n">
        <v>2388</v>
      </c>
      <c r="H488" s="4" t="n">
        <v>722</v>
      </c>
      <c r="I488" s="5" t="n">
        <v>138.5</v>
      </c>
      <c r="J488" s="5" t="n">
        <v>57.9</v>
      </c>
      <c r="K488" s="3" t="inlineStr">
        <is>
          <t>남세종IC 인접, 세종시청 10분권의 평탄한 전원형 농지</t>
        </is>
      </c>
      <c r="L488" s="6">
        <f>HYPERLINK("https://fin.land.naver.com/articles/2655042218", "매물Link")</f>
        <v/>
      </c>
      <c r="M488" s="6">
        <f>HYPERLINK("https://map.naver.com/p/search/금남면 두만리 124-1", "지도Link")</f>
        <v/>
      </c>
      <c r="N488" s="6">
        <f>HYPERLINK("http://www.eum.go.kr/web/ar/lu/luLandDet.jsp?pnu=3611034024101240001&amp;isNoScr=script&amp;mode=search", "토지이음")</f>
        <v/>
      </c>
      <c r="O488" s="3" t="inlineStr">
        <is>
          <t>세종소담황금</t>
        </is>
      </c>
      <c r="P488" s="4" t="n">
        <v>1</v>
      </c>
      <c r="Q488" s="4" t="n">
        <v>2388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세로각지(가)</t>
        </is>
      </c>
    </row>
    <row r="489">
      <c r="A489" s="3" t="inlineStr">
        <is>
          <t>금남면 두만리 148</t>
        </is>
      </c>
      <c r="B489" s="3" t="inlineStr">
        <is>
          <t>개발제한구역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44500</v>
      </c>
      <c r="G489" s="4" t="n">
        <v>1963</v>
      </c>
      <c r="H489" s="4" t="n">
        <v>594</v>
      </c>
      <c r="I489" s="5" t="n">
        <v>74.90000000000001</v>
      </c>
      <c r="J489" s="5" t="n">
        <v>40.3</v>
      </c>
      <c r="K489" s="3" t="inlineStr">
        <is>
          <t>nan</t>
        </is>
      </c>
      <c r="L489" s="6">
        <f>HYPERLINK("https://fin.land.naver.com/articles/2651423040", "매물Link")</f>
        <v/>
      </c>
      <c r="M489" s="6">
        <f>HYPERLINK("https://map.naver.com/p/search/금남면 두만리 148", "지도Link")</f>
        <v/>
      </c>
      <c r="N489" s="6">
        <f>HYPERLINK("http://www.eum.go.kr/web/ar/lu/luLandDet.jsp?pnu=3611034024101480000&amp;isNoScr=script&amp;mode=search", "토지이음")</f>
        <v/>
      </c>
      <c r="O489" s="3" t="inlineStr">
        <is>
          <t>대웅</t>
        </is>
      </c>
      <c r="P489" s="4" t="n">
        <v>1</v>
      </c>
      <c r="Q489" s="4" t="n">
        <v>1451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182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33600</v>
      </c>
      <c r="G490" s="4" t="n">
        <v>1388</v>
      </c>
      <c r="H490" s="4" t="n">
        <v>420</v>
      </c>
      <c r="I490" s="5" t="n">
        <v>80</v>
      </c>
      <c r="J490" s="5" t="n">
        <v>34.1</v>
      </c>
      <c r="K490" s="3" t="inlineStr">
        <is>
          <t>대전 세종 중간지점 금남면 토지</t>
        </is>
      </c>
      <c r="L490" s="6">
        <f>HYPERLINK("https://fin.land.naver.com/articles/2651784185", "매물Link")</f>
        <v/>
      </c>
      <c r="M490" s="6">
        <f>HYPERLINK("https://map.naver.com/p/search/금남면 두만리 182", "지도Link")</f>
        <v/>
      </c>
      <c r="N490" s="6">
        <f>HYPERLINK("http://www.eum.go.kr/web/ar/lu/luLandDet.jsp?pnu=3611034024101820000&amp;isNoScr=script&amp;mode=search", "토지이음")</f>
        <v/>
      </c>
      <c r="O490" s="3" t="inlineStr">
        <is>
          <t>반석원무소</t>
        </is>
      </c>
      <c r="P490" s="4" t="n">
        <v>1</v>
      </c>
      <c r="Q490" s="4" t="n">
        <v>1388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273-1</t>
        </is>
      </c>
      <c r="B491" s="3" t="inlineStr">
        <is>
          <t>개발제한구역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112000</v>
      </c>
      <c r="G491" s="4" t="n">
        <v>9039</v>
      </c>
      <c r="H491" s="4" t="n">
        <v>2734</v>
      </c>
      <c r="I491" s="5" t="n">
        <v>41</v>
      </c>
      <c r="J491" s="5" t="n">
        <v>3.7</v>
      </c>
      <c r="K491" s="3" t="inlineStr">
        <is>
          <t>전과 임야로 구성된 토지. 1번국도로 바로 진입되는 위치</t>
        </is>
      </c>
      <c r="L491" s="6">
        <f>HYPERLINK("https://fin.land.naver.com/articles/2652033255", "매물Link")</f>
        <v/>
      </c>
      <c r="M491" s="6">
        <f>HYPERLINK("https://map.naver.com/p/search/금남면 두만리 273-1", "지도Link")</f>
        <v/>
      </c>
      <c r="N491" s="6">
        <f>HYPERLINK("http://www.eum.go.kr/web/ar/lu/luLandDet.jsp?pnu=3611034024102730001&amp;isNoScr=script&amp;mode=search", "토지이음")</f>
        <v/>
      </c>
      <c r="O491" s="3" t="inlineStr">
        <is>
          <t>미스터홈즈강남지사</t>
        </is>
      </c>
      <c r="P491" s="4" t="n">
        <v>1</v>
      </c>
      <c r="Q491" s="4" t="n">
        <v>5396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308-4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160000</v>
      </c>
      <c r="G492" s="4" t="n">
        <v>4090</v>
      </c>
      <c r="H492" s="4" t="n">
        <v>1237</v>
      </c>
      <c r="I492" s="5" t="n">
        <v>129.3</v>
      </c>
      <c r="J492" s="5" t="n">
        <v>95.3</v>
      </c>
      <c r="K492" s="3" t="inlineStr">
        <is>
          <t>남세종TG와 가까운 토지매매</t>
        </is>
      </c>
      <c r="L492" s="6">
        <f>HYPERLINK("https://fin.land.naver.com/articles/2653215020", "매물Link")</f>
        <v/>
      </c>
      <c r="M492" s="6">
        <f>HYPERLINK("https://map.naver.com/p/search/금남면 두만리 308-4", "지도Link")</f>
        <v/>
      </c>
      <c r="N492" s="6">
        <f>HYPERLINK("http://www.eum.go.kr/web/ar/lu/luLandDet.jsp?pnu=3611034024103080004&amp;isNoScr=script&amp;mode=search", "토지이음")</f>
        <v/>
      </c>
      <c r="O492" s="3" t="inlineStr">
        <is>
          <t>비전</t>
        </is>
      </c>
      <c r="P492" s="4" t="n">
        <v>1</v>
      </c>
      <c r="Q492" s="4" t="n">
        <v>1855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소로각지</t>
        </is>
      </c>
    </row>
    <row r="493">
      <c r="A493" s="3" t="inlineStr">
        <is>
          <t>금남면 두만리 308-6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250000</v>
      </c>
      <c r="G493" s="4" t="n">
        <v>1694</v>
      </c>
      <c r="H493" s="4" t="n">
        <v>512</v>
      </c>
      <c r="I493" s="5" t="n">
        <v>488.3</v>
      </c>
      <c r="J493" s="5" t="n">
        <v>173</v>
      </c>
      <c r="K493" s="3" t="inlineStr">
        <is>
          <t>세종시내 근접한 창고  및  공장  등  적극 추찬</t>
        </is>
      </c>
      <c r="L493" s="6">
        <f>HYPERLINK("https://fin.land.naver.com/articles/2654646720", "매물Link")</f>
        <v/>
      </c>
      <c r="M493" s="6">
        <f>HYPERLINK("https://map.naver.com/p/search/금남면 두만리 308-6", "지도Link")</f>
        <v/>
      </c>
      <c r="N493" s="6">
        <f>HYPERLINK("http://www.eum.go.kr/web/ar/lu/luLandDet.jsp?pnu=3611034024103080006&amp;isNoScr=script&amp;mode=search", "토지이음")</f>
        <v/>
      </c>
      <c r="O493" s="3" t="inlineStr">
        <is>
          <t>태양</t>
        </is>
      </c>
      <c r="P493" s="4" t="n">
        <v>1</v>
      </c>
      <c r="Q493" s="4" t="n">
        <v>381</v>
      </c>
      <c r="R493" s="3" t="inlineStr">
        <is>
          <t>지정되지않음</t>
        </is>
      </c>
      <c r="S493" s="3" t="inlineStr">
        <is>
          <t>업무용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소로각지</t>
        </is>
      </c>
    </row>
    <row r="494">
      <c r="A494" s="3" t="inlineStr">
        <is>
          <t>금남면 두만리 335-5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160000</v>
      </c>
      <c r="G494" s="4" t="n">
        <v>1779</v>
      </c>
      <c r="H494" s="4" t="n">
        <v>538</v>
      </c>
      <c r="I494" s="5" t="n">
        <v>297.4</v>
      </c>
      <c r="J494" s="5" t="n">
        <v>168.5</v>
      </c>
      <c r="K494" s="3" t="inlineStr">
        <is>
          <t>급매,협의절충,지목이 대로 1종일반주거지역이며 바로건축가능,주위인프라 굿</t>
        </is>
      </c>
      <c r="L494" s="6">
        <f>HYPERLINK("https://fin.land.naver.com/articles/2654099213", "매물Link")</f>
        <v/>
      </c>
      <c r="M494" s="6">
        <f>HYPERLINK("https://map.naver.com/p/search/금남면 두만리 335-5", "지도Link")</f>
        <v/>
      </c>
      <c r="N494" s="6">
        <f>HYPERLINK("http://www.eum.go.kr/web/ar/lu/luLandDet.jsp?pnu=3611034024103350005&amp;isNoScr=script&amp;mode=search", "토지이음")</f>
        <v/>
      </c>
      <c r="O494" s="3" t="inlineStr">
        <is>
          <t>세종한울</t>
        </is>
      </c>
      <c r="P494" s="4" t="n">
        <v>1</v>
      </c>
      <c r="Q494" s="4" t="n">
        <v>1779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금남면 두만리 353-2</t>
        </is>
      </c>
      <c r="B495" s="3" t="inlineStr">
        <is>
          <t>제1종일반주거지역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42000</v>
      </c>
      <c r="G495" s="4" t="n">
        <v>397</v>
      </c>
      <c r="H495" s="4" t="n">
        <v>120</v>
      </c>
      <c r="I495" s="5" t="n">
        <v>350</v>
      </c>
      <c r="J495" s="5" t="n">
        <v>152.1</v>
      </c>
      <c r="K495" s="3" t="inlineStr">
        <is>
          <t>대지</t>
        </is>
      </c>
      <c r="L495" s="6">
        <f>HYPERLINK("https://fin.land.naver.com/articles/2653390182", "매물Link")</f>
        <v/>
      </c>
      <c r="M495" s="6">
        <f>HYPERLINK("https://map.naver.com/p/search/금남면 두만리 353-2", "지도Link")</f>
        <v/>
      </c>
      <c r="N495" s="6">
        <f>HYPERLINK("http://www.eum.go.kr/web/ar/lu/luLandDet.jsp?pnu=3611034024103530002&amp;isNoScr=script&amp;mode=search", "토지이음")</f>
        <v/>
      </c>
      <c r="O495" s="3" t="inlineStr">
        <is>
          <t>다산</t>
        </is>
      </c>
      <c r="P495" s="4" t="n">
        <v>1</v>
      </c>
      <c r="Q495" s="4" t="n">
        <v>397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금남면 두만리 355-2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35000</v>
      </c>
      <c r="G496" s="4" t="n">
        <v>292</v>
      </c>
      <c r="H496" s="4" t="n">
        <v>88</v>
      </c>
      <c r="I496" s="5" t="n">
        <v>397.7</v>
      </c>
      <c r="J496" s="5" t="n">
        <v>152.5</v>
      </c>
      <c r="K496" s="3" t="inlineStr">
        <is>
          <t>대전 인접으로 향후 주변 산업단지, 지하철 및 KTX세종역 등 호재가 은</t>
        </is>
      </c>
      <c r="L496" s="6">
        <f>HYPERLINK("https://fin.land.naver.com/articles/2654996313", "매물Link")</f>
        <v/>
      </c>
      <c r="M496" s="6">
        <f>HYPERLINK("https://map.naver.com/p/search/금남면 두만리 355-2", "지도Link")</f>
        <v/>
      </c>
      <c r="N496" s="6">
        <f>HYPERLINK("http://www.eum.go.kr/web/ar/lu/luLandDet.jsp?pnu=3611034024103550002&amp;isNoScr=script&amp;mode=search", "토지이음")</f>
        <v/>
      </c>
      <c r="O496" s="3" t="inlineStr">
        <is>
          <t>이선희</t>
        </is>
      </c>
      <c r="P496" s="4" t="n">
        <v>1</v>
      </c>
      <c r="Q496" s="4" t="n">
        <v>292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금남면 두만리 373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93000</v>
      </c>
      <c r="G497" s="4" t="n">
        <v>1051</v>
      </c>
      <c r="H497" s="4" t="n">
        <v>318</v>
      </c>
      <c r="I497" s="5" t="n">
        <v>292.5</v>
      </c>
      <c r="J497" s="5" t="n">
        <v>117.8</v>
      </c>
      <c r="K497" s="3" t="inlineStr">
        <is>
          <t>nan</t>
        </is>
      </c>
      <c r="L497" s="6">
        <f>HYPERLINK("https://fin.land.naver.com/articles/2655888283", "매물Link")</f>
        <v/>
      </c>
      <c r="M497" s="6">
        <f>HYPERLINK("https://map.naver.com/p/search/금남면 두만리 373", "지도Link")</f>
        <v/>
      </c>
      <c r="N497" s="6">
        <f>HYPERLINK("http://www.eum.go.kr/web/ar/lu/luLandDet.jsp?pnu=3611034024103730000&amp;isNoScr=script&amp;mode=search", "토지이음")</f>
        <v/>
      </c>
      <c r="O497" s="3" t="inlineStr">
        <is>
          <t>다산</t>
        </is>
      </c>
      <c r="P497" s="4" t="n">
        <v>4</v>
      </c>
      <c r="Q497" s="4" t="n">
        <v>1051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두만리 373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93000</v>
      </c>
      <c r="G498" s="4" t="n">
        <v>1051</v>
      </c>
      <c r="H498" s="4" t="n">
        <v>318</v>
      </c>
      <c r="I498" s="5" t="n">
        <v>292.5</v>
      </c>
      <c r="J498" s="5" t="n">
        <v>117.8</v>
      </c>
      <c r="K498" s="3" t="inlineStr">
        <is>
          <t>세종 금남면 주거지역 토지</t>
        </is>
      </c>
      <c r="L498" s="6">
        <f>HYPERLINK("https://fin.land.naver.com/articles/2655616202", "매물Link")</f>
        <v/>
      </c>
      <c r="M498" s="6">
        <f>HYPERLINK("https://map.naver.com/p/search/금남면 두만리 373", "지도Link")</f>
        <v/>
      </c>
      <c r="N498" s="6">
        <f>HYPERLINK("http://www.eum.go.kr/web/ar/lu/luLandDet.jsp?pnu=3611034024103730000&amp;isNoScr=script&amp;mode=search", "토지이음")</f>
        <v/>
      </c>
      <c r="O498" s="3" t="inlineStr">
        <is>
          <t>세종몽땅</t>
        </is>
      </c>
      <c r="P498" s="4" t="n">
        <v>1</v>
      </c>
      <c r="Q498" s="4" t="n">
        <v>1051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HYPERLINK("https://fin.land.naver.com/articles/2656243198",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수자인시티</t>
        </is>
      </c>
      <c r="P499" s="4" t="n">
        <v>1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437-6</t>
        </is>
      </c>
      <c r="B500" s="3" t="inlineStr">
        <is>
          <t>보전관리지역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850000</v>
      </c>
      <c r="G500" s="4" t="n">
        <v>9064</v>
      </c>
      <c r="H500" s="4" t="n">
        <v>2742</v>
      </c>
      <c r="I500" s="5" t="n">
        <v>310</v>
      </c>
      <c r="J500" s="5" t="n">
        <v>62.5</v>
      </c>
      <c r="K500" s="3" t="inlineStr">
        <is>
          <t>세종시 금남면 대형토지 상세글 읽어주세요</t>
        </is>
      </c>
      <c r="L500" s="6">
        <f>HYPERLINK("https://fin.land.naver.com/articles/2654177700", "매물Link")</f>
        <v/>
      </c>
      <c r="M500" s="6">
        <f>HYPERLINK("https://map.naver.com/p/search/금남면 두만리 437-6", "지도Link")</f>
        <v/>
      </c>
      <c r="N500" s="6">
        <f>HYPERLINK("http://www.eum.go.kr/web/ar/lu/luLandDet.jsp?pnu=3611034024104370006&amp;isNoScr=script&amp;mode=search", "토지이음")</f>
        <v/>
      </c>
      <c r="O500" s="3" t="inlineStr">
        <is>
          <t>대전신화</t>
        </is>
      </c>
      <c r="P500" s="4" t="n">
        <v>1</v>
      </c>
      <c r="Q500" s="4" t="n">
        <v>5834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448-8</t>
        </is>
      </c>
      <c r="B501" s="3" t="inlineStr">
        <is>
          <t>농림지역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46280</v>
      </c>
      <c r="G501" s="4" t="n">
        <v>1275</v>
      </c>
      <c r="H501" s="4" t="n">
        <v>386</v>
      </c>
      <c r="I501" s="5" t="n">
        <v>119.9</v>
      </c>
      <c r="J501" s="5" t="n">
        <v>55.6</v>
      </c>
      <c r="K501" s="3" t="inlineStr">
        <is>
          <t>대로에 접한 답으로 농업 진흥 구역에 속한 투자물건</t>
        </is>
      </c>
      <c r="L501" s="6">
        <f>HYPERLINK("https://fin.land.naver.com/articles/2653874297", "매물Link")</f>
        <v/>
      </c>
      <c r="M501" s="6">
        <f>HYPERLINK("https://map.naver.com/p/search/금남면 두만리 448-8", "지도Link")</f>
        <v/>
      </c>
      <c r="N501" s="6">
        <f>HYPERLINK("http://www.eum.go.kr/web/ar/lu/luLandDet.jsp?pnu=3611034024104480008&amp;isNoScr=script&amp;mode=search", "토지이음")</f>
        <v/>
      </c>
      <c r="O501" s="3" t="inlineStr">
        <is>
          <t>우림</t>
        </is>
      </c>
      <c r="P501" s="4" t="n">
        <v>1</v>
      </c>
      <c r="Q501" s="4" t="n">
        <v>1275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금남면 두만리 484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32000</v>
      </c>
      <c r="G502" s="4" t="n">
        <v>1769</v>
      </c>
      <c r="H502" s="4" t="n">
        <v>535</v>
      </c>
      <c r="I502" s="5" t="n">
        <v>59.8</v>
      </c>
      <c r="J502" s="5" t="n">
        <v>47.8</v>
      </c>
      <c r="K502" s="3" t="inlineStr">
        <is>
          <t>답으로 도심과 가까운 토지 가격조정가능</t>
        </is>
      </c>
      <c r="L502" s="6">
        <f>HYPERLINK("https://fin.land.naver.com/articles/2653644476", "매물Link")</f>
        <v/>
      </c>
      <c r="M502" s="6">
        <f>HYPERLINK("https://map.naver.com/p/search/금남면 두만리 484", "지도Link")</f>
        <v/>
      </c>
      <c r="N502" s="6">
        <f>HYPERLINK("http://www.eum.go.kr/web/ar/lu/luLandDet.jsp?pnu=3611034024104840000&amp;isNoScr=script&amp;mode=search", "토지이음")</f>
        <v/>
      </c>
      <c r="O502" s="3" t="inlineStr">
        <is>
          <t>고운동리치세종</t>
        </is>
      </c>
      <c r="P502" s="4" t="n">
        <v>2</v>
      </c>
      <c r="Q502" s="4" t="n">
        <v>1769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두만리 484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32000</v>
      </c>
      <c r="G503" s="4" t="n">
        <v>1769</v>
      </c>
      <c r="H503" s="4" t="n">
        <v>535</v>
      </c>
      <c r="I503" s="5" t="n">
        <v>59.8</v>
      </c>
      <c r="J503" s="5" t="n">
        <v>47.8</v>
      </c>
      <c r="K503" s="3" t="inlineStr">
        <is>
          <t>급매.세종시 동지역과 가까운 주변시세보다 저렴한 토지</t>
        </is>
      </c>
      <c r="L503" s="6">
        <f>HYPERLINK("https://fin.land.naver.com/articles/2652586682", "매물Link")</f>
        <v/>
      </c>
      <c r="M503" s="6">
        <f>HYPERLINK("https://map.naver.com/p/search/금남면 두만리 484", "지도Link")</f>
        <v/>
      </c>
      <c r="N503" s="6">
        <f>HYPERLINK("http://www.eum.go.kr/web/ar/lu/luLandDet.jsp?pnu=3611034024104840000&amp;isNoScr=script&amp;mode=search", "토지이음")</f>
        <v/>
      </c>
      <c r="O503" s="3" t="inlineStr">
        <is>
          <t>킹</t>
        </is>
      </c>
      <c r="P503" s="4" t="n">
        <v>2</v>
      </c>
      <c r="Q503" s="4" t="n">
        <v>1769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27000</v>
      </c>
      <c r="G504" s="4" t="n">
        <v>1769</v>
      </c>
      <c r="H504" s="4" t="n">
        <v>535</v>
      </c>
      <c r="I504" s="5" t="n">
        <v>50.5</v>
      </c>
      <c r="J504" s="5" t="n">
        <v>47.8</v>
      </c>
      <c r="K504" s="3" t="inlineStr">
        <is>
          <t>세종시 남세종 IC인근 진입로 좋은 토지 매매</t>
        </is>
      </c>
      <c r="L504" s="6">
        <f>HYPERLINK("https://fin.land.naver.com/articles/2653297264",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갤러리</t>
        </is>
      </c>
      <c r="P504" s="4" t="n">
        <v>1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551-6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35000</v>
      </c>
      <c r="G505" s="4" t="n">
        <v>1253</v>
      </c>
      <c r="H505" s="4" t="n">
        <v>379</v>
      </c>
      <c r="I505" s="5" t="n">
        <v>92.3</v>
      </c>
      <c r="J505" s="5" t="n">
        <v>40.5</v>
      </c>
      <c r="K505" s="3" t="inlineStr">
        <is>
          <t>포장 도로접합 지하수 설치 개발제한구역  토지거래허가구역</t>
        </is>
      </c>
      <c r="L505" s="6">
        <f>HYPERLINK("https://fin.land.naver.com/articles/2654276783", "매물Link")</f>
        <v/>
      </c>
      <c r="M505" s="6">
        <f>HYPERLINK("https://map.naver.com/p/search/금남면 두만리 551-6", "지도Link")</f>
        <v/>
      </c>
      <c r="N505" s="6">
        <f>HYPERLINK("http://www.eum.go.kr/web/ar/lu/luLandDet.jsp?pnu=3611034024105510006&amp;isNoScr=script&amp;mode=search", "토지이음")</f>
        <v/>
      </c>
      <c r="O505" s="3" t="inlineStr">
        <is>
          <t>예예</t>
        </is>
      </c>
      <c r="P505" s="4" t="n">
        <v>1</v>
      </c>
      <c r="Q505" s="4" t="n">
        <v>1253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금남면 두만리 75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43000</v>
      </c>
      <c r="G506" s="4" t="n">
        <v>1693</v>
      </c>
      <c r="H506" s="4" t="n">
        <v>512</v>
      </c>
      <c r="I506" s="5" t="n">
        <v>84</v>
      </c>
      <c r="J506" s="5" t="n">
        <v>48</v>
      </c>
      <c r="K506" s="3" t="inlineStr">
        <is>
          <t>대로변 마을입구</t>
        </is>
      </c>
      <c r="L506" s="6">
        <f>HYPERLINK("https://fin.land.naver.com/articles/2650884713", "매물Link")</f>
        <v/>
      </c>
      <c r="M506" s="6">
        <f>HYPERLINK("https://map.naver.com/p/search/금남면 두만리 75", "지도Link")</f>
        <v/>
      </c>
      <c r="N506" s="6">
        <f>HYPERLINK("http://www.eum.go.kr/web/ar/lu/luLandDet.jsp?pnu=3611034024100750000&amp;isNoScr=script&amp;mode=search", "토지이음")</f>
        <v/>
      </c>
      <c r="O506" s="3" t="inlineStr">
        <is>
          <t>으뜸</t>
        </is>
      </c>
      <c r="P506" s="4" t="n">
        <v>1</v>
      </c>
      <c r="Q506" s="4" t="n">
        <v>1693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81-4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19000</v>
      </c>
      <c r="G507" s="4" t="n">
        <v>1183</v>
      </c>
      <c r="H507" s="4" t="n">
        <v>358</v>
      </c>
      <c r="I507" s="5" t="n">
        <v>53.1</v>
      </c>
      <c r="J507" s="5" t="n">
        <v>39.8</v>
      </c>
      <c r="K507" s="3" t="inlineStr">
        <is>
          <t>세종시에서 저렴한 토지입니다.</t>
        </is>
      </c>
      <c r="L507" s="6">
        <f>HYPERLINK("https://fin.land.naver.com/articles/2653963853", "매물Link")</f>
        <v/>
      </c>
      <c r="M507" s="6">
        <f>HYPERLINK("https://map.naver.com/p/search/금남면 두만리 81-4", "지도Link")</f>
        <v/>
      </c>
      <c r="N507" s="6">
        <f>HYPERLINK("http://www.eum.go.kr/web/ar/lu/luLandDet.jsp?pnu=3611034024100810004&amp;isNoScr=script&amp;mode=search", "토지이음")</f>
        <v/>
      </c>
      <c r="O507" s="3" t="inlineStr">
        <is>
          <t>골드</t>
        </is>
      </c>
      <c r="P507" s="4" t="n">
        <v>1</v>
      </c>
      <c r="Q507" s="4" t="n">
        <v>1183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두만리 81-4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19000</v>
      </c>
      <c r="G508" s="4" t="n">
        <v>1183</v>
      </c>
      <c r="H508" s="4" t="n">
        <v>358</v>
      </c>
      <c r="I508" s="5" t="n">
        <v>53.1</v>
      </c>
      <c r="J508" s="5" t="n">
        <v>39.8</v>
      </c>
      <c r="K508" s="3" t="inlineStr">
        <is>
          <t>저렴한토지,농지원부가능</t>
        </is>
      </c>
      <c r="L508" s="6">
        <f>HYPERLINK("https://fin.land.naver.com/articles/2653415813", "매물Link")</f>
        <v/>
      </c>
      <c r="M508" s="6">
        <f>HYPERLINK("https://map.naver.com/p/search/금남면 두만리 81-4", "지도Link")</f>
        <v/>
      </c>
      <c r="N508" s="6">
        <f>HYPERLINK("http://www.eum.go.kr/web/ar/lu/luLandDet.jsp?pnu=3611034024100810004&amp;isNoScr=script&amp;mode=search", "토지이음")</f>
        <v/>
      </c>
      <c r="O508" s="3" t="inlineStr">
        <is>
          <t>두진</t>
        </is>
      </c>
      <c r="P508" s="4" t="n">
        <v>1</v>
      </c>
      <c r="Q508" s="4" t="n">
        <v>1183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박산리 154-30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34000</v>
      </c>
      <c r="G509" s="4" t="n">
        <v>1474</v>
      </c>
      <c r="H509" s="4" t="n">
        <v>446</v>
      </c>
      <c r="I509" s="5" t="n">
        <v>76.2</v>
      </c>
      <c r="J509" s="5" t="n">
        <v>41.6</v>
      </c>
      <c r="K509" s="3" t="inlineStr">
        <is>
          <t>위치좋은 농지</t>
        </is>
      </c>
      <c r="L509" s="6">
        <f>HYPERLINK("https://fin.land.naver.com/articles/2655462858", "매물Link")</f>
        <v/>
      </c>
      <c r="M509" s="6">
        <f>HYPERLINK("https://map.naver.com/p/search/금남면 박산리 154-30", "지도Link")</f>
        <v/>
      </c>
      <c r="N509" s="6">
        <f>HYPERLINK("http://www.eum.go.kr/web/ar/lu/luLandDet.jsp?pnu=3611034033101540030&amp;isNoScr=script&amp;mode=search", "토지이음")</f>
        <v/>
      </c>
      <c r="O509" s="3" t="inlineStr">
        <is>
          <t>샘터아이파크시티</t>
        </is>
      </c>
      <c r="P509" s="4" t="n">
        <v>1</v>
      </c>
      <c r="Q509" s="4" t="n">
        <v>1474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금남면 박산리 154-5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58950</v>
      </c>
      <c r="G510" s="4" t="n">
        <v>2599</v>
      </c>
      <c r="H510" s="4" t="n">
        <v>786</v>
      </c>
      <c r="I510" s="5" t="n">
        <v>75</v>
      </c>
      <c r="J510" s="5" t="n">
        <v>41.6</v>
      </c>
      <c r="K510" s="3" t="inlineStr">
        <is>
          <t>투자가치 좋은곳 2차선도로 근접 가격조절 가능</t>
        </is>
      </c>
      <c r="L510" s="6">
        <f>HYPERLINK("https://fin.land.naver.com/articles/2650975377", "매물Link")</f>
        <v/>
      </c>
      <c r="M510" s="6">
        <f>HYPERLINK("https://map.naver.com/p/search/금남면 박산리 154-5", "지도Link")</f>
        <v/>
      </c>
      <c r="N510" s="6">
        <f>HYPERLINK("http://www.eum.go.kr/web/ar/lu/luLandDet.jsp?pnu=3611034033101540005&amp;isNoScr=script&amp;mode=search", "토지이음")</f>
        <v/>
      </c>
      <c r="O510" s="3" t="inlineStr">
        <is>
          <t>세종자이명가</t>
        </is>
      </c>
      <c r="P510" s="4" t="n">
        <v>1</v>
      </c>
      <c r="Q510" s="4" t="n">
        <v>2599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금남면 박산리 154-5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58900</v>
      </c>
      <c r="G511" s="4" t="n">
        <v>2599</v>
      </c>
      <c r="H511" s="4" t="n">
        <v>786</v>
      </c>
      <c r="I511" s="5" t="n">
        <v>74.90000000000001</v>
      </c>
      <c r="J511" s="5" t="n">
        <v>41.6</v>
      </c>
      <c r="K511" s="3" t="inlineStr">
        <is>
          <t>세종특별자치시 금남면 박산리 자연녹지지역 답</t>
        </is>
      </c>
      <c r="L511" s="6">
        <f>HYPERLINK("https://fin.land.naver.com/articles/2655174065", "매물Link")</f>
        <v/>
      </c>
      <c r="M511" s="6">
        <f>HYPERLINK("https://map.naver.com/p/search/금남면 박산리 154-5", "지도Link")</f>
        <v/>
      </c>
      <c r="N511" s="6">
        <f>HYPERLINK("http://www.eum.go.kr/web/ar/lu/luLandDet.jsp?pnu=3611034033101540005&amp;isNoScr=script&amp;mode=search", "토지이음")</f>
        <v/>
      </c>
      <c r="O511" s="3" t="inlineStr">
        <is>
          <t>하이엔드</t>
        </is>
      </c>
      <c r="P511" s="4" t="n">
        <v>1</v>
      </c>
      <c r="Q511" s="4" t="n">
        <v>2599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156-1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40000</v>
      </c>
      <c r="G512" s="4" t="n">
        <v>1470</v>
      </c>
      <c r="H512" s="4" t="n">
        <v>445</v>
      </c>
      <c r="I512" s="5" t="n">
        <v>89.90000000000001</v>
      </c>
      <c r="J512" s="5" t="n">
        <v>41.6</v>
      </c>
      <c r="K512" s="3" t="inlineStr">
        <is>
          <t>둔곡 지구 인접 토지</t>
        </is>
      </c>
      <c r="L512" s="6">
        <f>HYPERLINK("https://fin.land.naver.com/articles/2651714898", "매물Link")</f>
        <v/>
      </c>
      <c r="M512" s="6">
        <f>HYPERLINK("https://map.naver.com/p/search/금남면 박산리 156-1", "지도Link")</f>
        <v/>
      </c>
      <c r="N512" s="6">
        <f>HYPERLINK("http://www.eum.go.kr/web/ar/lu/luLandDet.jsp?pnu=3611034033101560001&amp;isNoScr=script&amp;mode=search",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1470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박산리 156-4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114200</v>
      </c>
      <c r="G513" s="4" t="n">
        <v>1888</v>
      </c>
      <c r="H513" s="4" t="n">
        <v>571</v>
      </c>
      <c r="I513" s="5" t="n">
        <v>200</v>
      </c>
      <c r="J513" s="5" t="n">
        <v>41.6</v>
      </c>
      <c r="K513" s="3" t="inlineStr">
        <is>
          <t>생명나무,박산리 도로접한 땅모양 예쁜 농지</t>
        </is>
      </c>
      <c r="L513" s="6">
        <f>HYPERLINK("https://fin.land.naver.com/articles/2655217266", "매물Link")</f>
        <v/>
      </c>
      <c r="M513" s="6">
        <f>HYPERLINK("https://map.naver.com/p/search/금남면 박산리 156-4", "지도Link")</f>
        <v/>
      </c>
      <c r="N513" s="6">
        <f>HYPERLINK("http://www.eum.go.kr/web/ar/lu/luLandDet.jsp?pnu=3611034033101560004&amp;isNoScr=script&amp;mode=search", "토지이음")</f>
        <v/>
      </c>
      <c r="O513" s="3" t="inlineStr">
        <is>
          <t>생명나무</t>
        </is>
      </c>
      <c r="P513" s="4" t="n">
        <v>1</v>
      </c>
      <c r="Q513" s="4" t="n">
        <v>1888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205-4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25000</v>
      </c>
      <c r="G514" s="4" t="n">
        <v>238</v>
      </c>
      <c r="H514" s="4" t="n">
        <v>72</v>
      </c>
      <c r="I514" s="5" t="n">
        <v>347.2</v>
      </c>
      <c r="J514" s="5" t="n">
        <v>171.8</v>
      </c>
      <c r="K514" s="3" t="inlineStr">
        <is>
          <t>전원생활하실분 추천 농가주택있어요</t>
        </is>
      </c>
      <c r="L514" s="6">
        <f>HYPERLINK("https://fin.land.naver.com/articles/2655728552", "매물Link")</f>
        <v/>
      </c>
      <c r="M514" s="6">
        <f>HYPERLINK("https://map.naver.com/p/search/금남면 박산리 205-4", "지도Link")</f>
        <v/>
      </c>
      <c r="N514" s="6">
        <f>HYPERLINK("http://www.eum.go.kr/web/ar/lu/luLandDet.jsp?pnu=3611034033102050004&amp;isNoScr=script&amp;mode=search", "토지이음")</f>
        <v/>
      </c>
      <c r="O514" s="3" t="inlineStr">
        <is>
          <t>샘터아이파크시티</t>
        </is>
      </c>
      <c r="P514" s="4" t="n">
        <v>1</v>
      </c>
      <c r="Q514" s="4" t="n">
        <v>238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219-3</t>
        </is>
      </c>
      <c r="B515" s="3" t="inlineStr">
        <is>
          <t>자연녹지지역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90000</v>
      </c>
      <c r="G515" s="4" t="n">
        <v>970</v>
      </c>
      <c r="H515" s="4" t="n">
        <v>293</v>
      </c>
      <c r="I515" s="5" t="n">
        <v>307.2</v>
      </c>
      <c r="J515" s="5" t="n">
        <v>154.6</v>
      </c>
      <c r="K515" s="3" t="inlineStr">
        <is>
          <t>지대가 높아 커피숍이나 애완카페 등으로 이용하면 좋은 대지입니다</t>
        </is>
      </c>
      <c r="L515" s="6">
        <f>HYPERLINK("https://fin.land.naver.com/articles/2654381062", "매물Link")</f>
        <v/>
      </c>
      <c r="M515" s="6">
        <f>HYPERLINK("https://map.naver.com/p/search/금남면 박산리 219-3", "지도Link")</f>
        <v/>
      </c>
      <c r="N515" s="6">
        <f>HYPERLINK("http://www.eum.go.kr/web/ar/lu/luLandDet.jsp?pnu=3611034033102190003&amp;isNoScr=script&amp;mode=search",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904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박산리 251-3</t>
        </is>
      </c>
      <c r="B516" s="3" t="inlineStr">
        <is>
          <t>개발제한구역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30000</v>
      </c>
      <c r="G516" s="4" t="n">
        <v>1249</v>
      </c>
      <c r="H516" s="4" t="n">
        <v>378</v>
      </c>
      <c r="I516" s="5" t="n">
        <v>79.40000000000001</v>
      </c>
      <c r="J516" s="5" t="n">
        <v>42.7</v>
      </c>
      <c r="K516" s="3" t="inlineStr">
        <is>
          <t>세종시내에서 가깝고 투자가치 최고</t>
        </is>
      </c>
      <c r="L516" s="6">
        <f>HYPERLINK("https://fin.land.naver.com/articles/2653069162", "매물Link")</f>
        <v/>
      </c>
      <c r="M516" s="6">
        <f>HYPERLINK("https://map.naver.com/p/search/금남면 박산리 251-3", "지도Link")</f>
        <v/>
      </c>
      <c r="N516" s="6">
        <f>HYPERLINK("http://www.eum.go.kr/web/ar/lu/luLandDet.jsp?pnu=3611034033102510003&amp;isNoScr=script&amp;mode=search", "토지이음")</f>
        <v/>
      </c>
      <c r="O516" s="3" t="inlineStr">
        <is>
          <t>둔곡</t>
        </is>
      </c>
      <c r="P516" s="4" t="n">
        <v>1</v>
      </c>
      <c r="Q516" s="4" t="n">
        <v>1249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금남면 박산리 251-5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2094</v>
      </c>
      <c r="H517" s="4" t="n">
        <v>633</v>
      </c>
      <c r="I517" s="5" t="n">
        <v>90</v>
      </c>
      <c r="J517" s="5" t="n">
        <v>42.7</v>
      </c>
      <c r="K517" s="3" t="inlineStr">
        <is>
          <t>세종시 확장성 높은 박산리 답매매</t>
        </is>
      </c>
      <c r="L517" s="6">
        <f>HYPERLINK("https://fin.land.naver.com/articles/2651229972", "매물Link")</f>
        <v/>
      </c>
      <c r="M517" s="6">
        <f>HYPERLINK("https://map.naver.com/p/search/금남면 박산리 251-5", "지도Link")</f>
        <v/>
      </c>
      <c r="N517" s="6">
        <f>HYPERLINK("http://www.eum.go.kr/web/ar/lu/luLandDet.jsp?pnu=3611034033102510005&amp;isNoScr=script&amp;mode=search",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2094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금남면 발산리 106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73900</v>
      </c>
      <c r="G518" s="4" t="n">
        <v>1163</v>
      </c>
      <c r="H518" s="4" t="n">
        <v>352</v>
      </c>
      <c r="I518" s="5" t="n">
        <v>209.9</v>
      </c>
      <c r="J518" s="5" t="n">
        <v>89.2</v>
      </c>
      <c r="K518" s="3" t="inlineStr">
        <is>
          <t>금남면 발산리 마을포장도로에 접한 투자용 토지, 2필지 합해서 매매도가능</t>
        </is>
      </c>
      <c r="L518" s="6">
        <f>HYPERLINK("https://fin.land.naver.com/articles/2651448519", "매물Link")</f>
        <v/>
      </c>
      <c r="M518" s="6">
        <f>HYPERLINK("https://map.naver.com/p/search/금남면 발산리 106", "지도Link")</f>
        <v/>
      </c>
      <c r="N518" s="6">
        <f>HYPERLINK("http://www.eum.go.kr/web/ar/lu/luLandDet.jsp?pnu=3611034022101060000&amp;isNoScr=script&amp;mode=search",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1163</v>
      </c>
      <c r="R518" s="3" t="inlineStr">
        <is>
          <t>제1종일반주거지역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106-1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105000</v>
      </c>
      <c r="G519" s="4" t="n">
        <v>1654</v>
      </c>
      <c r="H519" s="4" t="n">
        <v>500</v>
      </c>
      <c r="I519" s="5" t="n">
        <v>210</v>
      </c>
      <c r="J519" s="5" t="n">
        <v>72.40000000000001</v>
      </c>
      <c r="K519" s="3" t="inlineStr">
        <is>
          <t>KTX 세종역 인근 금남면 발산리 마을 포장도로에 접한 투자용 토지입니다</t>
        </is>
      </c>
      <c r="L519" s="6">
        <f>HYPERLINK("https://fin.land.naver.com/articles/2655303201", "매물Link")</f>
        <v/>
      </c>
      <c r="M519" s="6">
        <f>HYPERLINK("https://map.naver.com/p/search/금남면 발산리 106-1", "지도Link")</f>
        <v/>
      </c>
      <c r="N519" s="6">
        <f>HYPERLINK("http://www.eum.go.kr/web/ar/lu/luLandDet.jsp?pnu=3611034022101060001&amp;isNoScr=script&amp;mode=search",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1654</v>
      </c>
      <c r="R519" s="3" t="inlineStr">
        <is>
          <t>제1종일반주거지역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109-1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15700</v>
      </c>
      <c r="G520" s="4" t="n">
        <v>519</v>
      </c>
      <c r="H520" s="4" t="n">
        <v>157</v>
      </c>
      <c r="I520" s="5" t="n">
        <v>100</v>
      </c>
      <c r="J520" s="5" t="n">
        <v>55.1</v>
      </c>
      <c r="K520" s="3" t="inlineStr">
        <is>
          <t>개발제한구역 주말농장 적합 투자용 하천구역접함 농노접</t>
        </is>
      </c>
      <c r="L520" s="6">
        <f>HYPERLINK("https://fin.land.naver.com/articles/2652090581", "매물Link")</f>
        <v/>
      </c>
      <c r="M520" s="6">
        <f>HYPERLINK("https://map.naver.com/p/search/금남면 발산리 109-1", "지도Link")</f>
        <v/>
      </c>
      <c r="N520" s="6">
        <f>HYPERLINK("http://www.eum.go.kr/web/ar/lu/luLandDet.jsp?pnu=3611034022101090001&amp;isNoScr=script&amp;mode=search", "토지이음")</f>
        <v/>
      </c>
      <c r="O520" s="3" t="inlineStr">
        <is>
          <t>세종이룸</t>
        </is>
      </c>
      <c r="P520" s="4" t="n">
        <v>1</v>
      </c>
      <c r="Q520" s="4" t="n">
        <v>519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발산리 141-1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140000</v>
      </c>
      <c r="G521" s="4" t="n">
        <v>7230</v>
      </c>
      <c r="H521" s="4" t="n">
        <v>2187</v>
      </c>
      <c r="I521" s="5" t="n">
        <v>64</v>
      </c>
      <c r="J521" s="5" t="n">
        <v>48.6</v>
      </c>
      <c r="K521" s="3" t="inlineStr">
        <is>
          <t>투자용 과수원 전,임야 도시지역 보전녹지 개발제한구역 토지거래허가 도로접</t>
        </is>
      </c>
      <c r="L521" s="6">
        <f>HYPERLINK("https://fin.land.naver.com/articles/2652091523", "매물Link")</f>
        <v/>
      </c>
      <c r="M521" s="6">
        <f>HYPERLINK("https://map.naver.com/p/search/금남면 발산리 141-1", "지도Link")</f>
        <v/>
      </c>
      <c r="N521" s="6">
        <f>HYPERLINK("http://www.eum.go.kr/web/ar/lu/luLandDet.jsp?pnu=3611034022101410001&amp;isNoScr=script&amp;mode=search", "토지이음")</f>
        <v/>
      </c>
      <c r="O521" s="3" t="inlineStr">
        <is>
          <t>세종이룸</t>
        </is>
      </c>
      <c r="P521" s="4" t="n">
        <v>1</v>
      </c>
      <c r="Q521" s="4" t="n">
        <v>1965</v>
      </c>
      <c r="R521" s="3" t="inlineStr">
        <is>
          <t>지정되지않음</t>
        </is>
      </c>
      <c r="S521" s="3" t="inlineStr">
        <is>
          <t>과수원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154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110000</v>
      </c>
      <c r="G522" s="4" t="n">
        <v>1821</v>
      </c>
      <c r="H522" s="4" t="n">
        <v>551</v>
      </c>
      <c r="I522" s="5" t="n">
        <v>199.6</v>
      </c>
      <c r="J522" s="5" t="n">
        <v>40.1</v>
      </c>
      <c r="K522" s="3" t="inlineStr">
        <is>
          <t>세종시 금남면 발산리 토지</t>
        </is>
      </c>
      <c r="L522" s="6">
        <f>HYPERLINK("https://fin.land.naver.com/articles/2655509979", "매물Link")</f>
        <v/>
      </c>
      <c r="M522" s="6">
        <f>HYPERLINK("https://map.naver.com/p/search/금남면 발산리 154", "지도Link")</f>
        <v/>
      </c>
      <c r="N522" s="6">
        <f>HYPERLINK("http://www.eum.go.kr/web/ar/lu/luLandDet.jsp?pnu=3611034022101540000&amp;isNoScr=script&amp;mode=search", "토지이음")</f>
        <v/>
      </c>
      <c r="O522" s="3" t="inlineStr">
        <is>
          <t>황금도장</t>
        </is>
      </c>
      <c r="P522" s="4" t="n">
        <v>1</v>
      </c>
      <c r="Q522" s="4" t="n">
        <v>1336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발산리 155-4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210000</v>
      </c>
      <c r="G523" s="4" t="n">
        <v>3661</v>
      </c>
      <c r="H523" s="4" t="n">
        <v>1107</v>
      </c>
      <c r="I523" s="5" t="n">
        <v>189.7</v>
      </c>
      <c r="J523" s="5" t="n">
        <v>42.6</v>
      </c>
      <c r="K523" s="3" t="inlineStr">
        <is>
          <t>세종시 금남면 발산리 토지</t>
        </is>
      </c>
      <c r="L523" s="6">
        <f>HYPERLINK("https://fin.land.naver.com/articles/2655507085", "매물Link")</f>
        <v/>
      </c>
      <c r="M523" s="6">
        <f>HYPERLINK("https://map.naver.com/p/search/금남면 발산리 155-4", "지도Link")</f>
        <v/>
      </c>
      <c r="N523" s="6">
        <f>HYPERLINK("http://www.eum.go.kr/web/ar/lu/luLandDet.jsp?pnu=3611034022101550004&amp;isNoScr=script&amp;mode=search", "토지이음")</f>
        <v/>
      </c>
      <c r="O523" s="3" t="inlineStr">
        <is>
          <t>황금도장</t>
        </is>
      </c>
      <c r="P523" s="4" t="n">
        <v>1</v>
      </c>
      <c r="Q523" s="4" t="n">
        <v>3307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발산리 165-1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130000</v>
      </c>
      <c r="G524" s="4" t="n">
        <v>6159</v>
      </c>
      <c r="H524" s="4" t="n">
        <v>1863</v>
      </c>
      <c r="I524" s="5" t="n">
        <v>69.8</v>
      </c>
      <c r="J524" s="5" t="n">
        <v>42.6</v>
      </c>
      <c r="K524" s="3" t="inlineStr">
        <is>
          <t>2차선 도로에 접해 있으며 지대가 높아 조망이 좋은 경사도 완만한 전</t>
        </is>
      </c>
      <c r="L524" s="6">
        <f>HYPERLINK("https://fin.land.naver.com/articles/2652467503", "매물Link")</f>
        <v/>
      </c>
      <c r="M524" s="6">
        <f>HYPERLINK("https://map.naver.com/p/search/금남면 발산리 165-1", "지도Link")</f>
        <v/>
      </c>
      <c r="N524" s="6">
        <f>HYPERLINK("http://www.eum.go.kr/web/ar/lu/luLandDet.jsp?pnu=3611034022101650001&amp;isNoScr=script&amp;mode=search",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5887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금남면 발산리 261</t>
        </is>
      </c>
      <c r="B525" s="3" t="inlineStr">
        <is>
          <t>농림지역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148000</v>
      </c>
      <c r="G525" s="4" t="n">
        <v>1954</v>
      </c>
      <c r="H525" s="4" t="n">
        <v>591</v>
      </c>
      <c r="I525" s="5" t="n">
        <v>250.4</v>
      </c>
      <c r="J525" s="5" t="n">
        <v>79.59999999999999</v>
      </c>
      <c r="K525" s="3" t="inlineStr">
        <is>
          <t>접근성좋은 발산리 토지 도로접</t>
        </is>
      </c>
      <c r="L525" s="6">
        <f>HYPERLINK("https://fin.land.naver.com/articles/2651904553", "매물Link")</f>
        <v/>
      </c>
      <c r="M525" s="6">
        <f>HYPERLINK("https://map.naver.com/p/search/금남면 발산리 261", "지도Link")</f>
        <v/>
      </c>
      <c r="N525" s="6">
        <f>HYPERLINK("http://www.eum.go.kr/web/ar/lu/luLandDet.jsp?pnu=3611034022102610000&amp;isNoScr=script&amp;mode=search", "토지이음")</f>
        <v/>
      </c>
      <c r="O525" s="3" t="inlineStr">
        <is>
          <t>새롬삼둥이</t>
        </is>
      </c>
      <c r="P525" s="4" t="n">
        <v>1</v>
      </c>
      <c r="Q525" s="4" t="n">
        <v>1954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276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263000</v>
      </c>
      <c r="G526" s="4" t="n">
        <v>1242</v>
      </c>
      <c r="H526" s="4" t="n">
        <v>376</v>
      </c>
      <c r="I526" s="5" t="n">
        <v>699.5</v>
      </c>
      <c r="J526" s="5" t="n">
        <v>334.5</v>
      </c>
      <c r="K526" s="3" t="inlineStr">
        <is>
          <t>1종일반주거지역. 음식점 성업중. 핫플가득한 라인</t>
        </is>
      </c>
      <c r="L526" s="6">
        <f>HYPERLINK("https://fin.land.naver.com/articles/2653461955", "매물Link")</f>
        <v/>
      </c>
      <c r="M526" s="6">
        <f>HYPERLINK("https://map.naver.com/p/search/금남면 발산리 276", "지도Link")</f>
        <v/>
      </c>
      <c r="N526" s="6">
        <f>HYPERLINK("http://www.eum.go.kr/web/ar/lu/luLandDet.jsp?pnu=3611034022102760000&amp;isNoScr=script&amp;mode=search", "토지이음")</f>
        <v/>
      </c>
      <c r="O526" s="3" t="inlineStr">
        <is>
          <t>세종금밭</t>
        </is>
      </c>
      <c r="P526" s="4" t="n">
        <v>1</v>
      </c>
      <c r="Q526" s="4" t="n">
        <v>600</v>
      </c>
      <c r="R526" s="3" t="inlineStr">
        <is>
          <t>지정되지않음</t>
        </is>
      </c>
      <c r="S526" s="3" t="inlineStr">
        <is>
          <t>주상용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286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50000</v>
      </c>
      <c r="G527" s="4" t="n">
        <v>656</v>
      </c>
      <c r="H527" s="4" t="n">
        <v>198</v>
      </c>
      <c r="I527" s="5" t="n">
        <v>252.5</v>
      </c>
      <c r="J527" s="5" t="n">
        <v>155.3</v>
      </c>
      <c r="K527" s="3" t="inlineStr">
        <is>
          <t>O.대로변 주변.접근성 좋음,O,</t>
        </is>
      </c>
      <c r="L527" s="6">
        <f>HYPERLINK("https://fin.land.naver.com/articles/2653085116", "매물Link")</f>
        <v/>
      </c>
      <c r="M527" s="6">
        <f>HYPERLINK("https://map.naver.com/p/search/금남면 발산리 286", "지도Link")</f>
        <v/>
      </c>
      <c r="N527" s="6">
        <f>HYPERLINK("http://www.eum.go.kr/web/ar/lu/luLandDet.jsp?pnu=3611034022102860000&amp;isNoScr=script&amp;mode=search", "토지이음")</f>
        <v/>
      </c>
      <c r="O527" s="3" t="inlineStr">
        <is>
          <t>보람뜰</t>
        </is>
      </c>
      <c r="P527" s="4" t="n">
        <v>1</v>
      </c>
      <c r="Q527" s="4" t="n">
        <v>656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발산리 316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1472900</v>
      </c>
      <c r="G528" s="4" t="n">
        <v>4427</v>
      </c>
      <c r="H528" s="4" t="n">
        <v>1339</v>
      </c>
      <c r="I528" s="5" t="n">
        <v>1100</v>
      </c>
      <c r="J528" s="5" t="n">
        <v>436.4</v>
      </c>
      <c r="K528" s="3" t="inlineStr">
        <is>
          <t>nan</t>
        </is>
      </c>
      <c r="L528" s="6">
        <f>HYPERLINK("https://fin.land.naver.com/articles/2651414756", "매물Link")</f>
        <v/>
      </c>
      <c r="M528" s="6">
        <f>HYPERLINK("https://map.naver.com/p/search/금남면 발산리 316", "지도Link")</f>
        <v/>
      </c>
      <c r="N528" s="6">
        <f>HYPERLINK("http://www.eum.go.kr/web/ar/lu/luLandDet.jsp?pnu=3611034022103160000&amp;isNoScr=script&amp;mode=search", "토지이음")</f>
        <v/>
      </c>
      <c r="O528" s="3" t="inlineStr">
        <is>
          <t>KB</t>
        </is>
      </c>
      <c r="P528" s="4" t="n">
        <v>1</v>
      </c>
      <c r="Q528" s="4" t="n">
        <v>2474</v>
      </c>
      <c r="R528" s="3" t="inlineStr">
        <is>
          <t>생산녹지지역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중로한면</t>
        </is>
      </c>
    </row>
    <row r="529">
      <c r="A529" s="3" t="inlineStr">
        <is>
          <t>금남면 발산리 417-3</t>
        </is>
      </c>
      <c r="B529" s="3" t="inlineStr">
        <is>
          <t>농림지역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52500</v>
      </c>
      <c r="G529" s="4" t="n">
        <v>1580</v>
      </c>
      <c r="H529" s="4" t="n">
        <v>478</v>
      </c>
      <c r="I529" s="5" t="n">
        <v>109.8</v>
      </c>
      <c r="J529" s="5" t="n">
        <v>77.2</v>
      </c>
      <c r="K529" s="3" t="inlineStr">
        <is>
          <t>KTX 역 부지 접함, 물류 농업용창고부지 투자용</t>
        </is>
      </c>
      <c r="L529" s="6">
        <f>HYPERLINK("https://fin.land.naver.com/articles/2652090878", "매물Link")</f>
        <v/>
      </c>
      <c r="M529" s="6">
        <f>HYPERLINK("https://map.naver.com/p/search/금남면 발산리 417-3", "지도Link")</f>
        <v/>
      </c>
      <c r="N529" s="6">
        <f>HYPERLINK("http://www.eum.go.kr/web/ar/lu/luLandDet.jsp?pnu=3611034022104170003&amp;isNoScr=script&amp;mode=search", "토지이음")</f>
        <v/>
      </c>
      <c r="O529" s="3" t="inlineStr">
        <is>
          <t>세종이룸</t>
        </is>
      </c>
      <c r="P529" s="4" t="n">
        <v>1</v>
      </c>
      <c r="Q529" s="4" t="n">
        <v>1580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세로한면(가)</t>
        </is>
      </c>
    </row>
    <row r="530">
      <c r="A530" s="3" t="inlineStr">
        <is>
          <t>금남면 발산리 417-3</t>
        </is>
      </c>
      <c r="B530" s="3" t="inlineStr">
        <is>
          <t>농림지역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52500</v>
      </c>
      <c r="G530" s="4" t="n">
        <v>1580</v>
      </c>
      <c r="H530" s="4" t="n">
        <v>478</v>
      </c>
      <c r="I530" s="5" t="n">
        <v>109.8</v>
      </c>
      <c r="J530" s="5" t="n">
        <v>77.2</v>
      </c>
      <c r="K530" s="3" t="inlineStr">
        <is>
          <t>세종시  사두면 무조건 돈되는 땅입니다.가격조정 협의</t>
        </is>
      </c>
      <c r="L530" s="6">
        <f>HYPERLINK("https://fin.land.naver.com/articles/2652366141", "매물Link")</f>
        <v/>
      </c>
      <c r="M530" s="6">
        <f>HYPERLINK("https://map.naver.com/p/search/금남면 발산리 417-3", "지도Link")</f>
        <v/>
      </c>
      <c r="N530" s="6">
        <f>HYPERLINK("http://www.eum.go.kr/web/ar/lu/luLandDet.jsp?pnu=3611034022104170003&amp;isNoScr=script&amp;mode=search", "토지이음")</f>
        <v/>
      </c>
      <c r="O530" s="3" t="inlineStr">
        <is>
          <t>유성대박</t>
        </is>
      </c>
      <c r="P530" s="4" t="n">
        <v>1</v>
      </c>
      <c r="Q530" s="4" t="n">
        <v>1580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금남면 발산리 46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240600</v>
      </c>
      <c r="G531" s="4" t="n">
        <v>1326</v>
      </c>
      <c r="H531" s="4" t="n">
        <v>401</v>
      </c>
      <c r="I531" s="5" t="n">
        <v>600</v>
      </c>
      <c r="J531" s="5" t="n">
        <v>195.9</v>
      </c>
      <c r="K531" s="3" t="inlineStr">
        <is>
          <t>1종 일반주거지역</t>
        </is>
      </c>
      <c r="L531" s="6">
        <f>HYPERLINK("https://fin.land.naver.com/articles/2656205825", "매물Link")</f>
        <v/>
      </c>
      <c r="M531" s="6">
        <f>HYPERLINK("https://map.naver.com/p/search/금남면 발산리 46", "지도Link")</f>
        <v/>
      </c>
      <c r="N531" s="6">
        <f>HYPERLINK("http://www.eum.go.kr/web/ar/lu/luLandDet.jsp?pnu=3611034022100460000&amp;isNoScr=script&amp;mode=search", "토지이음")</f>
        <v/>
      </c>
      <c r="O531" s="3" t="inlineStr">
        <is>
          <t>신안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55</t>
        </is>
      </c>
      <c r="B532" s="3" t="inlineStr">
        <is>
          <t>개발제한구역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13300</v>
      </c>
      <c r="G532" s="4" t="n">
        <v>1261</v>
      </c>
      <c r="H532" s="4" t="n">
        <v>381</v>
      </c>
      <c r="I532" s="5" t="n">
        <v>34.9</v>
      </c>
      <c r="J532" s="5" t="n">
        <v>20.7</v>
      </c>
      <c r="K532" s="3" t="inlineStr">
        <is>
          <t>발산리 개발제한구역 내 토지.</t>
        </is>
      </c>
      <c r="L532" s="6">
        <f>HYPERLINK("https://fin.land.naver.com/articles/2654232726", "매물Link")</f>
        <v/>
      </c>
      <c r="M532" s="6">
        <f>HYPERLINK("https://map.naver.com/p/search/금남면 발산리 55", "지도Link")</f>
        <v/>
      </c>
      <c r="N532" s="6">
        <f>HYPERLINK("http://www.eum.go.kr/web/ar/lu/luLandDet.jsp?pnu=3611034022100550000&amp;isNoScr=script&amp;mode=search", "토지이음")</f>
        <v/>
      </c>
      <c r="O532" s="3" t="inlineStr">
        <is>
          <t>미스터홈즈강남지사</t>
        </is>
      </c>
      <c r="P532" s="4" t="n">
        <v>1</v>
      </c>
      <c r="Q532" s="4" t="n">
        <v>1261</v>
      </c>
      <c r="R532" s="3" t="inlineStr">
        <is>
          <t>지정되지않음</t>
        </is>
      </c>
      <c r="S532" s="3" t="inlineStr">
        <is>
          <t>전기타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발산리 67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324</v>
      </c>
      <c r="H533" s="4" t="n">
        <v>98</v>
      </c>
      <c r="I533" s="5" t="n">
        <v>153.1</v>
      </c>
      <c r="J533" s="5" t="n">
        <v>45.6</v>
      </c>
      <c r="K533" s="3" t="inlineStr">
        <is>
          <t>소형평수 토지투자</t>
        </is>
      </c>
      <c r="L533" s="6">
        <f>HYPERLINK("https://fin.land.naver.com/articles/2654966326", "매물Link")</f>
        <v/>
      </c>
      <c r="M533" s="6">
        <f>HYPERLINK("https://map.naver.com/p/search/금남면 발산리 67", "지도Link")</f>
        <v/>
      </c>
      <c r="N533" s="6">
        <f>HYPERLINK("http://www.eum.go.kr/web/ar/lu/luLandDet.jsp?pnu=3611034022100670000&amp;isNoScr=script&amp;mode=search", "토지이음")</f>
        <v/>
      </c>
      <c r="O533" s="3" t="inlineStr">
        <is>
          <t>세계로</t>
        </is>
      </c>
      <c r="P533" s="4" t="n">
        <v>1</v>
      </c>
      <c r="Q533" s="4" t="n">
        <v>324</v>
      </c>
      <c r="R533" s="3" t="inlineStr">
        <is>
          <t>지정되지않음</t>
        </is>
      </c>
      <c r="S533" s="3" t="inlineStr">
        <is>
          <t>전기타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7-4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23883</v>
      </c>
      <c r="G534" s="4" t="n">
        <v>1385</v>
      </c>
      <c r="H534" s="4" t="n">
        <v>419</v>
      </c>
      <c r="I534" s="5" t="n">
        <v>57</v>
      </c>
      <c r="J534" s="5" t="n">
        <v>50.5</v>
      </c>
      <c r="K534" s="3" t="inlineStr">
        <is>
          <t>도로에 접해 접근성 양호한 토지</t>
        </is>
      </c>
      <c r="L534" s="6">
        <f>HYPERLINK("https://fin.land.naver.com/articles/2655519233", "매물Link")</f>
        <v/>
      </c>
      <c r="M534" s="6">
        <f>HYPERLINK("https://map.naver.com/p/search/금남면 발산리 7-4", "지도Link")</f>
        <v/>
      </c>
      <c r="N534" s="6">
        <f>HYPERLINK("http://www.eum.go.kr/web/ar/lu/luLandDet.jsp?pnu=3611034022100070004&amp;isNoScr=script&amp;mode=search", "토지이음")</f>
        <v/>
      </c>
      <c r="O534" s="3" t="inlineStr">
        <is>
          <t>정보은행</t>
        </is>
      </c>
      <c r="P534" s="4" t="n">
        <v>1</v>
      </c>
      <c r="Q534" s="4" t="n">
        <v>1142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발산리 88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335000</v>
      </c>
      <c r="G535" s="4" t="n">
        <v>1574</v>
      </c>
      <c r="H535" s="4" t="n">
        <v>476</v>
      </c>
      <c r="I535" s="5" t="n">
        <v>703.8</v>
      </c>
      <c r="J535" s="5" t="n">
        <v>260</v>
      </c>
      <c r="K535" s="3" t="inlineStr">
        <is>
          <t>총3필지매매,대지와 답,전원주택포함매매</t>
        </is>
      </c>
      <c r="L535" s="6">
        <f>HYPERLINK("https://fin.land.naver.com/articles/2655604918", "매물Link")</f>
        <v/>
      </c>
      <c r="M535" s="6">
        <f>HYPERLINK("https://map.naver.com/p/search/금남면 발산리 88", "지도Link")</f>
        <v/>
      </c>
      <c r="N535" s="6">
        <f>HYPERLINK("http://www.eum.go.kr/web/ar/lu/luLandDet.jsp?pnu=3611034022100880000&amp;isNoScr=script&amp;mode=search", "토지이음")</f>
        <v/>
      </c>
      <c r="O535" s="3" t="inlineStr">
        <is>
          <t>담뜰</t>
        </is>
      </c>
      <c r="P535" s="4" t="n">
        <v>2</v>
      </c>
      <c r="Q535" s="4" t="n">
        <v>320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88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335000</v>
      </c>
      <c r="G536" s="4" t="n">
        <v>1574</v>
      </c>
      <c r="H536" s="4" t="n">
        <v>476</v>
      </c>
      <c r="I536" s="5" t="n">
        <v>703.8</v>
      </c>
      <c r="J536" s="5" t="n">
        <v>260</v>
      </c>
      <c r="K536" s="3" t="inlineStr">
        <is>
          <t>nan</t>
        </is>
      </c>
      <c r="L536" s="6">
        <f>HYPERLINK("https://fin.land.naver.com/articles/2653432908", "매물Link")</f>
        <v/>
      </c>
      <c r="M536" s="6">
        <f>HYPERLINK("https://map.naver.com/p/search/금남면 발산리 88", "지도Link")</f>
        <v/>
      </c>
      <c r="N536" s="6">
        <f>HYPERLINK("http://www.eum.go.kr/web/ar/lu/luLandDet.jsp?pnu=3611034022100880000&amp;isNoScr=script&amp;mode=search", "토지이음")</f>
        <v/>
      </c>
      <c r="O536" s="3" t="inlineStr">
        <is>
          <t>고운맘</t>
        </is>
      </c>
      <c r="P536" s="4" t="n">
        <v>1</v>
      </c>
      <c r="Q536" s="4" t="n">
        <v>320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68000</v>
      </c>
      <c r="G537" s="4" t="n">
        <v>320</v>
      </c>
      <c r="H537" s="4" t="n">
        <v>97</v>
      </c>
      <c r="I537" s="5" t="n">
        <v>701</v>
      </c>
      <c r="J537" s="5" t="n">
        <v>260</v>
      </c>
      <c r="K537" s="3" t="inlineStr">
        <is>
          <t>도로접 도시.1종일반주거지역 알토란 토지,다목적용도 가능</t>
        </is>
      </c>
      <c r="L537" s="6">
        <f>HYPERLINK("https://fin.land.naver.com/articles/2653418124",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고운맘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세종시 금남면 발산리 일대 1종주거지역 대형평수</t>
        </is>
      </c>
      <c r="L538" s="6">
        <f>HYPERLINK("https://fin.land.naver.com/articles/2654822916",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황소플러스</t>
        </is>
      </c>
      <c r="P538" s="4" t="n">
        <v>1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88-1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195.9</v>
      </c>
      <c r="K539" s="3" t="inlineStr">
        <is>
          <t>도시1종주거지로 음식점, 사무실, 다가구 등</t>
        </is>
      </c>
      <c r="L539" s="6">
        <f>HYPERLINK("https://fin.land.naver.com/articles/2654544763", "매물Link")</f>
        <v/>
      </c>
      <c r="M539" s="6">
        <f>HYPERLINK("https://map.naver.com/p/search/금남면 발산리 88-1", "지도Link")</f>
        <v/>
      </c>
      <c r="N539" s="6">
        <f>HYPERLINK("http://www.eum.go.kr/web/ar/lu/luLandDet.jsp?pnu=3611034022100880001&amp;isNoScr=script&amp;mode=search",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754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88-1</t>
        </is>
      </c>
      <c r="B540" s="3" t="inlineStr">
        <is>
          <t>제1종일반주거지역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150000</v>
      </c>
      <c r="G540" s="4" t="n">
        <v>754</v>
      </c>
      <c r="H540" s="4" t="n">
        <v>228</v>
      </c>
      <c r="I540" s="5" t="n">
        <v>657.9</v>
      </c>
      <c r="J540" s="5" t="n">
        <v>195.9</v>
      </c>
      <c r="K540" s="3" t="inlineStr">
        <is>
          <t>음식점 카페, 다가구주택 등 건축이 가능한 제1종 일반주거지역의 조경수</t>
        </is>
      </c>
      <c r="L540" s="6">
        <f>HYPERLINK("https://fin.land.naver.com/articles/2652667261", "매물Link")</f>
        <v/>
      </c>
      <c r="M540" s="6">
        <f>HYPERLINK("https://map.naver.com/p/search/금남면 발산리 88-1", "지도Link")</f>
        <v/>
      </c>
      <c r="N540" s="6">
        <f>HYPERLINK("http://www.eum.go.kr/web/ar/lu/luLandDet.jsp?pnu=3611034022100880001&amp;isNoScr=script&amp;mode=search",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754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150000</v>
      </c>
      <c r="G541" s="4" t="n">
        <v>754</v>
      </c>
      <c r="H541" s="4" t="n">
        <v>228</v>
      </c>
      <c r="I541" s="5" t="n">
        <v>657.9</v>
      </c>
      <c r="J541" s="5" t="n">
        <v>195.9</v>
      </c>
      <c r="K541" s="3" t="inlineStr">
        <is>
          <t>도로접 도시.1종일반주거지역 알토란 토지,다목적용도 가능</t>
        </is>
      </c>
      <c r="L541" s="6">
        <f>HYPERLINK("https://fin.land.naver.com/articles/2653423145",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88-2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105000</v>
      </c>
      <c r="G542" s="4" t="n">
        <v>500</v>
      </c>
      <c r="H542" s="4" t="n">
        <v>151</v>
      </c>
      <c r="I542" s="5" t="n">
        <v>695.4</v>
      </c>
      <c r="J542" s="5" t="n">
        <v>203.7</v>
      </c>
      <c r="K542" s="3" t="inlineStr">
        <is>
          <t>도로접 도시.1종일반주거지역 알토란 토지,다목적용도 가능</t>
        </is>
      </c>
      <c r="L542" s="6">
        <f>HYPERLINK("https://fin.land.naver.com/articles/2653425069", "매물Link")</f>
        <v/>
      </c>
      <c r="M542" s="6">
        <f>HYPERLINK("https://map.naver.com/p/search/금남면 발산리 88-2", "지도Link")</f>
        <v/>
      </c>
      <c r="N542" s="6">
        <f>HYPERLINK("http://www.eum.go.kr/web/ar/lu/luLandDet.jsp?pnu=3611034022100880002&amp;isNoScr=script&amp;mode=search", "토지이음")</f>
        <v/>
      </c>
      <c r="O542" s="3" t="inlineStr">
        <is>
          <t>고운맘</t>
        </is>
      </c>
      <c r="P542" s="4" t="n">
        <v>1</v>
      </c>
      <c r="Q542" s="4" t="n">
        <v>500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금남면 발산리 88-2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105700</v>
      </c>
      <c r="G543" s="4" t="n">
        <v>500</v>
      </c>
      <c r="H543" s="4" t="n">
        <v>151</v>
      </c>
      <c r="I543" s="5" t="n">
        <v>700</v>
      </c>
      <c r="J543" s="5" t="n">
        <v>203.7</v>
      </c>
      <c r="K543" s="3" t="inlineStr">
        <is>
          <t>다가구, 음식점, 카페 등 건축이 자유로운 도시지역, 제1종일반주거지역</t>
        </is>
      </c>
      <c r="L543" s="6">
        <f>HYPERLINK("https://fin.land.naver.com/articles/2655551318", "매물Link")</f>
        <v/>
      </c>
      <c r="M543" s="6">
        <f>HYPERLINK("https://map.naver.com/p/search/금남면 발산리 88-2", "지도Link")</f>
        <v/>
      </c>
      <c r="N543" s="6">
        <f>HYPERLINK("http://www.eum.go.kr/web/ar/lu/luLandDet.jsp?pnu=3611034022100880002&amp;isNoScr=script&amp;mode=search", "토지이음")</f>
        <v/>
      </c>
      <c r="O543" s="3" t="inlineStr">
        <is>
          <t>스마일세종</t>
        </is>
      </c>
      <c r="P543" s="4" t="n">
        <v>1</v>
      </c>
      <c r="Q543" s="4" t="n">
        <v>500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금남면 봉암리 161-4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161400</v>
      </c>
      <c r="G544" s="4" t="n">
        <v>2668</v>
      </c>
      <c r="H544" s="4" t="n">
        <v>807</v>
      </c>
      <c r="I544" s="5" t="n">
        <v>200</v>
      </c>
      <c r="J544" s="5" t="n">
        <v>113.1</v>
      </c>
      <c r="K544" s="3" t="inlineStr">
        <is>
          <t>대지 및 전</t>
        </is>
      </c>
      <c r="L544" s="6">
        <f>HYPERLINK("https://fin.land.naver.com/articles/2653526212", "매물Link")</f>
        <v/>
      </c>
      <c r="M544" s="6">
        <f>HYPERLINK("https://map.naver.com/p/search/금남면 봉암리 161-4", "지도Link")</f>
        <v/>
      </c>
      <c r="N544" s="6">
        <f>HYPERLINK("http://www.eum.go.kr/web/ar/lu/luLandDet.jsp?pnu=3611034043101610004&amp;isNoScr=script&amp;mode=search", "토지이음")</f>
        <v/>
      </c>
      <c r="O544" s="3" t="inlineStr">
        <is>
          <t>정직한한국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봉암리 28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15000</v>
      </c>
      <c r="G545" s="4" t="n">
        <v>992</v>
      </c>
      <c r="H545" s="4" t="n">
        <v>300</v>
      </c>
      <c r="I545" s="5" t="n">
        <v>50</v>
      </c>
      <c r="J545" s="5" t="n">
        <v>25.7</v>
      </c>
      <c r="K545" s="3" t="inlineStr">
        <is>
          <t>대전 세종 중간 입지 접근성 양호</t>
        </is>
      </c>
      <c r="L545" s="6">
        <f>HYPERLINK("https://fin.land.naver.com/articles/2651001881", "매물Link")</f>
        <v/>
      </c>
      <c r="M545" s="6">
        <f>HYPERLINK("https://map.naver.com/p/search/금남면 봉암리 28", "지도Link")</f>
        <v/>
      </c>
      <c r="N545" s="6">
        <f>HYPERLINK("http://www.eum.go.kr/web/ar/lu/luLandDet.jsp?pnu=3611034043100280000&amp;isNoScr=script&amp;mode=search", "토지이음")</f>
        <v/>
      </c>
      <c r="O545" s="3" t="inlineStr">
        <is>
          <t>반석원무소</t>
        </is>
      </c>
      <c r="P545" s="4" t="n">
        <v>1</v>
      </c>
      <c r="Q545" s="4" t="n">
        <v>992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금남면 부용리 100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98000</v>
      </c>
      <c r="G546" s="4" t="n">
        <v>904</v>
      </c>
      <c r="H546" s="4" t="n">
        <v>273</v>
      </c>
      <c r="I546" s="5" t="n">
        <v>359</v>
      </c>
      <c r="J546" s="5" t="n">
        <v>239.2</v>
      </c>
      <c r="K546" s="3" t="inlineStr">
        <is>
          <t>조율최대 계획관리지역 전원주택 카페등 청주 오송 근거리 매매가</t>
        </is>
      </c>
      <c r="L546" s="6">
        <f>HYPERLINK("https://fin.land.naver.com/articles/2652101196", "매물Link")</f>
        <v/>
      </c>
      <c r="M546" s="6">
        <f>HYPERLINK("https://map.naver.com/p/search/금남면 부용리 100", "지도Link")</f>
        <v/>
      </c>
      <c r="N546" s="6">
        <f>HYPERLINK("http://www.eum.go.kr/web/ar/lu/luLandDet.jsp?pnu=3611034035101000000&amp;isNoScr=script&amp;mode=search", "토지이음")</f>
        <v/>
      </c>
      <c r="O546" s="3" t="inlineStr">
        <is>
          <t>홍기표</t>
        </is>
      </c>
      <c r="P546" s="4" t="n">
        <v>1</v>
      </c>
      <c r="Q546" s="4" t="n">
        <v>904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100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110000</v>
      </c>
      <c r="G547" s="4" t="n">
        <v>904</v>
      </c>
      <c r="H547" s="4" t="n">
        <v>273</v>
      </c>
      <c r="I547" s="5" t="n">
        <v>402.9</v>
      </c>
      <c r="J547" s="5" t="n">
        <v>239.2</v>
      </c>
      <c r="K547" s="3" t="inlineStr">
        <is>
          <t>지목대 계획관리 코너 가시성굿 접근성양호 귀한나대지</t>
        </is>
      </c>
      <c r="L547" s="6">
        <f>HYPERLINK("https://fin.land.naver.com/articles/2654939761", "매물Link")</f>
        <v/>
      </c>
      <c r="M547" s="6">
        <f>HYPERLINK("https://map.naver.com/p/search/금남면 부용리 100", "지도Link")</f>
        <v/>
      </c>
      <c r="N547" s="6">
        <f>HYPERLINK("http://www.eum.go.kr/web/ar/lu/luLandDet.jsp?pnu=3611034035101000000&amp;isNoScr=script&amp;mode=search", "토지이음")</f>
        <v/>
      </c>
      <c r="O547" s="3" t="inlineStr">
        <is>
          <t>열린</t>
        </is>
      </c>
      <c r="P547" s="4" t="n">
        <v>1</v>
      </c>
      <c r="Q547" s="4" t="n">
        <v>904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부용리 267-1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월세</t>
        </is>
      </c>
      <c r="F548" s="4" t="n">
        <v>500</v>
      </c>
      <c r="G548" s="4" t="n">
        <v>1964</v>
      </c>
      <c r="H548" s="4" t="n">
        <v>594</v>
      </c>
      <c r="I548" s="5" t="n">
        <v>0.1</v>
      </c>
      <c r="J548" s="5" t="n">
        <v>148</v>
      </c>
      <c r="K548" s="3" t="inlineStr">
        <is>
          <t>nan</t>
        </is>
      </c>
      <c r="L548" s="6">
        <f>HYPERLINK("https://fin.land.naver.com/articles/2653504459", "매물Link")</f>
        <v/>
      </c>
      <c r="M548" s="6">
        <f>HYPERLINK("https://map.naver.com/p/search/금남면 부용리 267-1", "지도Link")</f>
        <v/>
      </c>
      <c r="N548" s="6">
        <f>HYPERLINK("http://www.eum.go.kr/web/ar/lu/luLandDet.jsp?pnu=3611034035102670001&amp;isNoScr=script&amp;mode=search", "토지이음")</f>
        <v/>
      </c>
      <c r="O548" s="3" t="inlineStr">
        <is>
          <t>안중행복드림</t>
        </is>
      </c>
      <c r="P548" s="4" t="n">
        <v>1</v>
      </c>
      <c r="Q548" s="4" t="n">
        <v>1554</v>
      </c>
      <c r="R548" s="3" t="inlineStr">
        <is>
          <t>지정되지않음</t>
        </is>
      </c>
      <c r="S548" s="3" t="inlineStr">
        <is>
          <t>답창고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278-3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105000</v>
      </c>
      <c r="G549" s="4" t="n">
        <v>723</v>
      </c>
      <c r="H549" s="4" t="n">
        <v>219</v>
      </c>
      <c r="I549" s="5" t="n">
        <v>479.5</v>
      </c>
      <c r="J549" s="5" t="n">
        <v>243.5</v>
      </c>
      <c r="K549" s="3" t="inlineStr">
        <is>
          <t>4생활권 접근성  최상의 위치, 대지, 계획관리지역, 현재사무실사용중</t>
        </is>
      </c>
      <c r="L549" s="6">
        <f>HYPERLINK("https://fin.land.naver.com/articles/2651593543", "매물Link")</f>
        <v/>
      </c>
      <c r="M549" s="6">
        <f>HYPERLINK("https://map.naver.com/p/search/금남면 부용리 278-3", "지도Link")</f>
        <v/>
      </c>
      <c r="N549" s="6">
        <f>HYPERLINK("http://www.eum.go.kr/web/ar/lu/luLandDet.jsp?pnu=3611034035102780003&amp;isNoScr=script&amp;mode=search", "토지이음")</f>
        <v/>
      </c>
      <c r="O549" s="3" t="inlineStr">
        <is>
          <t>이담</t>
        </is>
      </c>
      <c r="P549" s="4" t="n">
        <v>1</v>
      </c>
      <c r="Q549" s="4" t="n">
        <v>723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302-3</t>
        </is>
      </c>
      <c r="B550" s="3" t="inlineStr">
        <is>
          <t>개발제한구역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45000</v>
      </c>
      <c r="G550" s="4" t="n">
        <v>1410</v>
      </c>
      <c r="H550" s="4" t="n">
        <v>427</v>
      </c>
      <c r="I550" s="5" t="n">
        <v>105.4</v>
      </c>
      <c r="J550" s="5" t="n">
        <v>41.9</v>
      </c>
      <c r="K550" s="3" t="inlineStr">
        <is>
          <t>공동 캠퍼스 인근 토지. 강변 근처 토지</t>
        </is>
      </c>
      <c r="L550" s="6">
        <f>HYPERLINK("https://fin.land.naver.com/articles/2651714908", "매물Link")</f>
        <v/>
      </c>
      <c r="M550" s="6">
        <f>HYPERLINK("https://map.naver.com/p/search/금남면 부용리 302-3", "지도Link")</f>
        <v/>
      </c>
      <c r="N550" s="6">
        <f>HYPERLINK("http://www.eum.go.kr/web/ar/lu/luLandDet.jsp?pnu=3611034035103020003&amp;isNoScr=script&amp;mode=search",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668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353</t>
        </is>
      </c>
      <c r="B551" s="3" t="inlineStr">
        <is>
          <t>개발제한구역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19200</v>
      </c>
      <c r="G551" s="4" t="n">
        <v>635</v>
      </c>
      <c r="H551" s="4" t="n">
        <v>192</v>
      </c>
      <c r="I551" s="5" t="n">
        <v>100</v>
      </c>
      <c r="J551" s="5" t="n">
        <v>30.7</v>
      </c>
      <c r="K551" s="3" t="inlineStr">
        <is>
          <t>저렴한 토지,투자로 추천,4미터 도로접</t>
        </is>
      </c>
      <c r="L551" s="6">
        <f>HYPERLINK("https://fin.land.naver.com/articles/2654853412", "매물Link")</f>
        <v/>
      </c>
      <c r="M551" s="6">
        <f>HYPERLINK("https://map.naver.com/p/search/금남면 부용리 353", "지도Link")</f>
        <v/>
      </c>
      <c r="N551" s="6">
        <f>HYPERLINK("http://www.eum.go.kr/web/ar/lu/luLandDet.jsp?pnu=3611034035103530000&amp;isNoScr=script&amp;mode=search", "토지이음")</f>
        <v/>
      </c>
      <c r="O551" s="3" t="inlineStr">
        <is>
          <t>담뜰</t>
        </is>
      </c>
      <c r="P551" s="4" t="n">
        <v>1</v>
      </c>
      <c r="Q551" s="4" t="n">
        <v>635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부용리 422</t>
        </is>
      </c>
      <c r="B552" s="3" t="inlineStr">
        <is>
          <t>생산관리지역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335000</v>
      </c>
      <c r="G552" s="4" t="n">
        <v>4432</v>
      </c>
      <c r="H552" s="4" t="n">
        <v>1341</v>
      </c>
      <c r="I552" s="5" t="n">
        <v>249.8</v>
      </c>
      <c r="J552" s="5" t="n">
        <v>95.2</v>
      </c>
      <c r="K552" s="3" t="inlineStr">
        <is>
          <t>4개필지, 도로에 접함</t>
        </is>
      </c>
      <c r="L552" s="6">
        <f>HYPERLINK("https://fin.land.naver.com/articles/2653530372", "매물Link")</f>
        <v/>
      </c>
      <c r="M552" s="6">
        <f>HYPERLINK("https://map.naver.com/p/search/금남면 부용리 422", "지도Link")</f>
        <v/>
      </c>
      <c r="N552" s="6">
        <f>HYPERLINK("http://www.eum.go.kr/web/ar/lu/luLandDet.jsp?pnu=3611034035104220000&amp;isNoScr=script&amp;mode=search", "토지이음")</f>
        <v/>
      </c>
      <c r="O552" s="3" t="inlineStr">
        <is>
          <t>황제</t>
        </is>
      </c>
      <c r="P552" s="4" t="n">
        <v>1</v>
      </c>
      <c r="Q552" s="4" t="n">
        <v>3679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금남면 부용리 45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110000</v>
      </c>
      <c r="G553" s="4" t="n">
        <v>1218</v>
      </c>
      <c r="H553" s="4" t="n">
        <v>368</v>
      </c>
      <c r="I553" s="5" t="n">
        <v>298.9</v>
      </c>
      <c r="J553" s="5" t="n">
        <v>110</v>
      </c>
      <c r="K553" s="3" t="inlineStr">
        <is>
          <t>Point 수변 카페, 전원주택, 가든 등 신축 가능, 도로접 접근성좋음</t>
        </is>
      </c>
      <c r="L553" s="6">
        <f>HYPERLINK("https://fin.land.naver.com/articles/2654669241", "매물Link")</f>
        <v/>
      </c>
      <c r="M553" s="6">
        <f>HYPERLINK("https://map.naver.com/p/search/금남면 부용리 45", "지도Link")</f>
        <v/>
      </c>
      <c r="N553" s="6">
        <f>HYPERLINK("http://www.eum.go.kr/web/ar/lu/luLandDet.jsp?pnu=3611034035100450000&amp;isNoScr=script&amp;mode=search", "토지이음")</f>
        <v/>
      </c>
      <c r="O553" s="3" t="inlineStr">
        <is>
          <t>도마호반</t>
        </is>
      </c>
      <c r="P553" s="4" t="n">
        <v>2</v>
      </c>
      <c r="Q553" s="4" t="n">
        <v>1218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45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110000</v>
      </c>
      <c r="G554" s="4" t="n">
        <v>1218</v>
      </c>
      <c r="H554" s="4" t="n">
        <v>368</v>
      </c>
      <c r="I554" s="5" t="n">
        <v>298.9</v>
      </c>
      <c r="J554" s="5" t="n">
        <v>110</v>
      </c>
      <c r="K554" s="3" t="inlineStr">
        <is>
          <t>금강 조망 최적의 위치</t>
        </is>
      </c>
      <c r="L554" s="6">
        <f>HYPERLINK("https://fin.land.naver.com/articles/2655630405", "매물Link")</f>
        <v/>
      </c>
      <c r="M554" s="6">
        <f>HYPERLINK("https://map.naver.com/p/search/금남면 부용리 45", "지도Link")</f>
        <v/>
      </c>
      <c r="N554" s="6">
        <f>HYPERLINK("http://www.eum.go.kr/web/ar/lu/luLandDet.jsp?pnu=3611034035100450000&amp;isNoScr=script&amp;mode=search", "토지이음")</f>
        <v/>
      </c>
      <c r="O554" s="3" t="inlineStr">
        <is>
          <t>정민</t>
        </is>
      </c>
      <c r="P554" s="4" t="n">
        <v>1</v>
      </c>
      <c r="Q554" s="4" t="n">
        <v>1218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115000</v>
      </c>
      <c r="G555" s="4" t="n">
        <v>1218</v>
      </c>
      <c r="H555" s="4" t="n">
        <v>368</v>
      </c>
      <c r="I555" s="5" t="n">
        <v>312.5</v>
      </c>
      <c r="J555" s="5" t="n">
        <v>110</v>
      </c>
      <c r="K555" s="3" t="inlineStr">
        <is>
          <t>세종 금남면 부용리 조망 좋은 생산관리 토지</t>
        </is>
      </c>
      <c r="L555" s="6">
        <f>HYPERLINK("https://fin.land.naver.com/articles/2655655239",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세종몽땅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497-1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19000</v>
      </c>
      <c r="G556" s="4" t="n">
        <v>647</v>
      </c>
      <c r="H556" s="4" t="n">
        <v>196</v>
      </c>
      <c r="I556" s="5" t="n">
        <v>96.90000000000001</v>
      </c>
      <c r="J556" s="5" t="n">
        <v>91.59999999999999</v>
      </c>
      <c r="K556" s="3" t="inlineStr">
        <is>
          <t>조망좋은 부용리 소형토지매매</t>
        </is>
      </c>
      <c r="L556" s="6">
        <f>HYPERLINK("https://fin.land.naver.com/articles/2655172662", "매물Link")</f>
        <v/>
      </c>
      <c r="M556" s="6">
        <f>HYPERLINK("https://map.naver.com/p/search/금남면 부용리 497-1", "지도Link")</f>
        <v/>
      </c>
      <c r="N556" s="6">
        <f>HYPERLINK("http://www.eum.go.kr/web/ar/lu/luLandDet.jsp?pnu=3611034035104970001&amp;isNoScr=script&amp;mode=search", "토지이음")</f>
        <v/>
      </c>
      <c r="O556" s="3" t="inlineStr">
        <is>
          <t>에이스</t>
        </is>
      </c>
      <c r="P556" s="4" t="n">
        <v>1</v>
      </c>
      <c r="Q556" s="4" t="n">
        <v>647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금남면 부용리 507-1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40000</v>
      </c>
      <c r="G557" s="4" t="n">
        <v>372</v>
      </c>
      <c r="H557" s="4" t="n">
        <v>113</v>
      </c>
      <c r="I557" s="5" t="n">
        <v>354</v>
      </c>
      <c r="J557" s="5" t="n">
        <v>241</v>
      </c>
      <c r="K557" s="3" t="inlineStr">
        <is>
          <t>부용리 마을회관인접,교통좋은 위치,투자추천</t>
        </is>
      </c>
      <c r="L557" s="6">
        <f>HYPERLINK("https://fin.land.naver.com/articles/2651671561", "매물Link")</f>
        <v/>
      </c>
      <c r="M557" s="6">
        <f>HYPERLINK("https://map.naver.com/p/search/금남면 부용리 507-1", "지도Link")</f>
        <v/>
      </c>
      <c r="N557" s="6">
        <f>HYPERLINK("http://www.eum.go.kr/web/ar/lu/luLandDet.jsp?pnu=3611034035105070001&amp;isNoScr=script&amp;mode=search", "토지이음")</f>
        <v/>
      </c>
      <c r="O557" s="3" t="inlineStr">
        <is>
          <t>두진</t>
        </is>
      </c>
      <c r="P557" s="4" t="n">
        <v>1</v>
      </c>
      <c r="Q557" s="4" t="n">
        <v>372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부용리 513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661</v>
      </c>
      <c r="H558" s="4" t="n">
        <v>200</v>
      </c>
      <c r="I558" s="5" t="n">
        <v>340</v>
      </c>
      <c r="J558" s="5" t="n">
        <v>238.6</v>
      </c>
      <c r="K558" s="3" t="inlineStr">
        <is>
          <t>금남면 부용리 계획관리 대지, 4생활권 및 공동캠퍼스 인근, 자연취락지구</t>
        </is>
      </c>
      <c r="L558" s="6">
        <f>HYPERLINK("https://fin.land.naver.com/articles/2654028508", "매물Link")</f>
        <v/>
      </c>
      <c r="M558" s="6">
        <f>HYPERLINK("https://map.naver.com/p/search/금남면 부용리 513", "지도Link")</f>
        <v/>
      </c>
      <c r="N558" s="6">
        <f>HYPERLINK("http://www.eum.go.kr/web/ar/lu/luLandDet.jsp?pnu=3611034035105130000&amp;isNoScr=script&amp;mode=search",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552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524-5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25900</v>
      </c>
      <c r="G559" s="4" t="n">
        <v>222</v>
      </c>
      <c r="H559" s="4" t="n">
        <v>67</v>
      </c>
      <c r="I559" s="5" t="n">
        <v>386.6</v>
      </c>
      <c r="J559" s="5" t="n">
        <v>223</v>
      </c>
      <c r="K559" s="3" t="inlineStr">
        <is>
          <t>귀한 입지 미래가 창창 합니다  조건은 열성적으로  협의 해 보시게요</t>
        </is>
      </c>
      <c r="L559" s="6">
        <f>HYPERLINK("https://fin.land.naver.com/articles/2654428292", "매물Link")</f>
        <v/>
      </c>
      <c r="M559" s="6">
        <f>HYPERLINK("https://map.naver.com/p/search/금남면 부용리 524-5", "지도Link")</f>
        <v/>
      </c>
      <c r="N559" s="6">
        <f>HYPERLINK("http://www.eum.go.kr/web/ar/lu/luLandDet.jsp?pnu=3611034035105240005&amp;isNoScr=script&amp;mode=search", "토지이음")</f>
        <v/>
      </c>
      <c r="O559" s="3" t="inlineStr">
        <is>
          <t>세종골드삼성</t>
        </is>
      </c>
      <c r="P559" s="4" t="n">
        <v>1</v>
      </c>
      <c r="Q559" s="4" t="n">
        <v>222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534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57600</v>
      </c>
      <c r="G560" s="4" t="n">
        <v>424</v>
      </c>
      <c r="H560" s="4" t="n">
        <v>128</v>
      </c>
      <c r="I560" s="5" t="n">
        <v>450</v>
      </c>
      <c r="J560" s="5" t="n">
        <v>159.9</v>
      </c>
      <c r="K560" s="3" t="inlineStr">
        <is>
          <t>입지좋은 도로변토지매매추천</t>
        </is>
      </c>
      <c r="L560" s="6">
        <f>HYPERLINK("https://fin.land.naver.com/articles/2655645476", "매물Link")</f>
        <v/>
      </c>
      <c r="M560" s="6">
        <f>HYPERLINK("https://map.naver.com/p/search/금남면 부용리 534", "지도Link")</f>
        <v/>
      </c>
      <c r="N560" s="6">
        <f>HYPERLINK("http://www.eum.go.kr/web/ar/lu/luLandDet.jsp?pnu=3611034035105340000&amp;isNoScr=script&amp;mode=search", "토지이음")</f>
        <v/>
      </c>
      <c r="O560" s="3" t="inlineStr">
        <is>
          <t>세종365</t>
        </is>
      </c>
      <c r="P560" s="4" t="n">
        <v>1</v>
      </c>
      <c r="Q560" s="4" t="n">
        <v>424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535-1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58000</v>
      </c>
      <c r="G561" s="4" t="n">
        <v>400</v>
      </c>
      <c r="H561" s="4" t="n">
        <v>121</v>
      </c>
      <c r="I561" s="5" t="n">
        <v>479.3</v>
      </c>
      <c r="J561" s="5" t="n">
        <v>225.2</v>
      </c>
      <c r="K561" s="3" t="inlineStr">
        <is>
          <t>세종시 공동캠퍼스 주변 원룸및 전원주택 가능</t>
        </is>
      </c>
      <c r="L561" s="6">
        <f>HYPERLINK("https://fin.land.naver.com/articles/2653842787", "매물Link")</f>
        <v/>
      </c>
      <c r="M561" s="6">
        <f>HYPERLINK("https://map.naver.com/p/search/금남면 부용리 535-1", "지도Link")</f>
        <v/>
      </c>
      <c r="N561" s="6">
        <f>HYPERLINK("http://www.eum.go.kr/web/ar/lu/luLandDet.jsp?pnu=3611034035105350001&amp;isNoScr=script&amp;mode=search", "토지이음")</f>
        <v/>
      </c>
      <c r="O561" s="3" t="inlineStr">
        <is>
          <t>세종나라</t>
        </is>
      </c>
      <c r="P561" s="4" t="n">
        <v>1</v>
      </c>
      <c r="Q561" s="4" t="n">
        <v>400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612-3</t>
        </is>
      </c>
      <c r="B562" s="3" t="inlineStr">
        <is>
          <t>개발제한구역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633</v>
      </c>
      <c r="H562" s="4" t="n">
        <v>191</v>
      </c>
      <c r="I562" s="5" t="n">
        <v>115.2</v>
      </c>
      <c r="J562" s="5" t="n">
        <v>48.3</v>
      </c>
      <c r="K562" s="3" t="inlineStr">
        <is>
          <t>자연녹지 전, 농업진흥구역, 개발제한구역, 토지거래허가구역</t>
        </is>
      </c>
      <c r="L562" s="6">
        <f>HYPERLINK("https://fin.land.naver.com/articles/2652102753", "매물Link")</f>
        <v/>
      </c>
      <c r="M562" s="6">
        <f>HYPERLINK("https://map.naver.com/p/search/금남면 부용리 612-3", "지도Link")</f>
        <v/>
      </c>
      <c r="N562" s="6">
        <f>HYPERLINK("http://www.eum.go.kr/web/ar/lu/luLandDet.jsp?pnu=3611034035106120003&amp;isNoScr=script&amp;mode=search",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633.2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세로한면(가)</t>
        </is>
      </c>
    </row>
    <row r="563">
      <c r="A563" s="3" t="inlineStr">
        <is>
          <t>금남면 부용리 81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30000</v>
      </c>
      <c r="G563" s="4" t="n">
        <v>294</v>
      </c>
      <c r="H563" s="4" t="n">
        <v>89</v>
      </c>
      <c r="I563" s="5" t="n">
        <v>337.1</v>
      </c>
      <c r="J563" s="5" t="n">
        <v>179.8</v>
      </c>
      <c r="K563" s="3" t="inlineStr">
        <is>
          <t>대통령지붐실 5분거리 강변 투자용지</t>
        </is>
      </c>
      <c r="L563" s="6">
        <f>HYPERLINK("https://fin.land.naver.com/articles/2655933534", "매물Link")</f>
        <v/>
      </c>
      <c r="M563" s="6">
        <f>HYPERLINK("https://map.naver.com/p/search/금남면 부용리 81", "지도Link")</f>
        <v/>
      </c>
      <c r="N563" s="6">
        <f>HYPERLINK("http://www.eum.go.kr/web/ar/lu/luLandDet.jsp?pnu=3611034035100810000&amp;isNoScr=script&amp;mode=search", "토지이음")</f>
        <v/>
      </c>
      <c r="O563" s="3" t="inlineStr">
        <is>
          <t>초원</t>
        </is>
      </c>
      <c r="P563" s="4" t="n">
        <v>1</v>
      </c>
      <c r="Q563" s="4" t="n">
        <v>294</v>
      </c>
      <c r="R563" s="3" t="inlineStr">
        <is>
          <t>지정되지않음</t>
        </is>
      </c>
      <c r="S563" s="3" t="inlineStr">
        <is>
          <t>전창고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금남면 부용리 83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20000</v>
      </c>
      <c r="G564" s="4" t="n">
        <v>331</v>
      </c>
      <c r="H564" s="4" t="n">
        <v>100</v>
      </c>
      <c r="I564" s="5" t="n">
        <v>200</v>
      </c>
      <c r="J564" s="5" t="n">
        <v>136.9</v>
      </c>
      <c r="K564" s="3" t="inlineStr">
        <is>
          <t>세종 금남면 토지, 성장관리계획구역, 금강, 부강역, 세종5생활권</t>
        </is>
      </c>
      <c r="L564" s="6">
        <f>HYPERLINK("https://fin.land.naver.com/articles/2653517417", "매물Link")</f>
        <v/>
      </c>
      <c r="M564" s="6">
        <f>HYPERLINK("https://map.naver.com/p/search/금남면 부용리 83", "지도Link")</f>
        <v/>
      </c>
      <c r="N564" s="6">
        <f>HYPERLINK("http://www.eum.go.kr/web/ar/lu/luLandDet.jsp?pnu=3611034035100830000&amp;isNoScr=script&amp;mode=search", "토지이음")</f>
        <v/>
      </c>
      <c r="O564" s="3" t="inlineStr">
        <is>
          <t>나침반</t>
        </is>
      </c>
      <c r="P564" s="4" t="n">
        <v>1</v>
      </c>
      <c r="Q564" s="4" t="n">
        <v>331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86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105000</v>
      </c>
      <c r="G565" s="4" t="n">
        <v>1405</v>
      </c>
      <c r="H565" s="4" t="n">
        <v>425</v>
      </c>
      <c r="I565" s="5" t="n">
        <v>247.1</v>
      </c>
      <c r="J565" s="5" t="n">
        <v>147.2</v>
      </c>
      <c r="K565" s="3" t="inlineStr">
        <is>
          <t>대학교 인근 계획관리 토지</t>
        </is>
      </c>
      <c r="L565" s="6">
        <f>HYPERLINK("https://fin.land.naver.com/articles/2653362495", "매물Link")</f>
        <v/>
      </c>
      <c r="M565" s="6">
        <f>HYPERLINK("https://map.naver.com/p/search/금남면 부용리 86", "지도Link")</f>
        <v/>
      </c>
      <c r="N565" s="6">
        <f>HYPERLINK("http://www.eum.go.kr/web/ar/lu/luLandDet.jsp?pnu=3611034035100860000&amp;isNoScr=script&amp;mode=search",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1405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세로한면(가)</t>
        </is>
      </c>
    </row>
    <row r="566">
      <c r="A566" s="3" t="inlineStr">
        <is>
          <t>금남면 부용리 87-1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전</t>
        </is>
      </c>
      <c r="E566" s="3" t="inlineStr">
        <is>
          <t>매매</t>
        </is>
      </c>
      <c r="F566" s="4" t="n">
        <v>250000</v>
      </c>
      <c r="G566" s="4" t="n">
        <v>324</v>
      </c>
      <c r="H566" s="4" t="n">
        <v>98</v>
      </c>
      <c r="I566" s="5" t="n">
        <v>2551</v>
      </c>
      <c r="J566" s="5" t="n">
        <v>241.6</v>
      </c>
      <c r="K566" s="3" t="inlineStr">
        <is>
          <t>금강면 부강생활 체육공원 마자은편3필지 매매가격조율 가능</t>
        </is>
      </c>
      <c r="L566" s="6">
        <f>HYPERLINK("https://fin.land.naver.com/articles/2650977251", "매물Link")</f>
        <v/>
      </c>
      <c r="M566" s="6">
        <f>HYPERLINK("https://map.naver.com/p/search/금남면 부용리 87-1", "지도Link")</f>
        <v/>
      </c>
      <c r="N566" s="6">
        <f>HYPERLINK("http://www.eum.go.kr/web/ar/lu/luLandDet.jsp?pnu=3611034035100870001&amp;isNoScr=script&amp;mode=search", "토지이음")</f>
        <v/>
      </c>
      <c r="O566" s="3" t="inlineStr">
        <is>
          <t>금백</t>
        </is>
      </c>
      <c r="P566" s="4" t="n">
        <v>1</v>
      </c>
      <c r="Q566" s="4" t="n">
        <v>324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88-1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33000</v>
      </c>
      <c r="G567" s="4" t="n">
        <v>295</v>
      </c>
      <c r="H567" s="4" t="n">
        <v>89</v>
      </c>
      <c r="I567" s="5" t="n">
        <v>370.8</v>
      </c>
      <c r="J567" s="5" t="n">
        <v>241.6</v>
      </c>
      <c r="K567" s="3" t="inlineStr">
        <is>
          <t>귀한 원주민 토지. 소형평수. 금강벚꽃길을 내집에서 감상하세요</t>
        </is>
      </c>
      <c r="L567" s="6">
        <f>HYPERLINK("https://fin.land.naver.com/articles/2653462061", "매물Link")</f>
        <v/>
      </c>
      <c r="M567" s="6">
        <f>HYPERLINK("https://map.naver.com/p/search/금남면 부용리 88-1", "지도Link")</f>
        <v/>
      </c>
      <c r="N567" s="6">
        <f>HYPERLINK("http://www.eum.go.kr/web/ar/lu/luLandDet.jsp?pnu=3611034035100880001&amp;isNoScr=script&amp;mode=search", "토지이음")</f>
        <v/>
      </c>
      <c r="O567" s="3" t="inlineStr">
        <is>
          <t>세종금밭</t>
        </is>
      </c>
      <c r="P567" s="4" t="n">
        <v>1</v>
      </c>
      <c r="Q567" s="4" t="n">
        <v>295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금남면 부용리 97-2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90000</v>
      </c>
      <c r="G568" s="4" t="n">
        <v>1051</v>
      </c>
      <c r="H568" s="4" t="n">
        <v>318</v>
      </c>
      <c r="I568" s="5" t="n">
        <v>283</v>
      </c>
      <c r="J568" s="5" t="n">
        <v>241.6</v>
      </c>
      <c r="K568" s="3" t="inlineStr">
        <is>
          <t>대학교 인근 토지.</t>
        </is>
      </c>
      <c r="L568" s="6">
        <f>HYPERLINK("https://fin.land.naver.com/articles/2653362520", "매물Link")</f>
        <v/>
      </c>
      <c r="M568" s="6">
        <f>HYPERLINK("https://map.naver.com/p/search/금남면 부용리 97-2", "지도Link")</f>
        <v/>
      </c>
      <c r="N568" s="6">
        <f>HYPERLINK("http://www.eum.go.kr/web/ar/lu/luLandDet.jsp?pnu=3611034035100970002&amp;isNoScr=script&amp;mode=search", "토지이음")</f>
        <v/>
      </c>
      <c r="O568" s="3" t="inlineStr">
        <is>
          <t>이레</t>
        </is>
      </c>
      <c r="P568" s="4" t="n">
        <v>1</v>
      </c>
      <c r="Q568" s="4" t="n">
        <v>1051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산49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200000</v>
      </c>
      <c r="G569" s="4" t="n">
        <v>2380</v>
      </c>
      <c r="H569" s="4" t="n">
        <v>720</v>
      </c>
      <c r="I569" s="5" t="n">
        <v>277.8</v>
      </c>
      <c r="J569" s="5" t="n">
        <v>20</v>
      </c>
      <c r="K569" s="3" t="inlineStr">
        <is>
          <t>대학교인근 계획관리</t>
        </is>
      </c>
      <c r="L569" s="6">
        <f>HYPERLINK("https://fin.land.naver.com/articles/2651714885", "매물Link")</f>
        <v/>
      </c>
      <c r="M569" s="6">
        <f>HYPERLINK("https://map.naver.com/p/search/금남면 부용리 산49", "지도Link")</f>
        <v/>
      </c>
      <c r="N569" s="6">
        <f>HYPERLINK("http://www.eum.go.kr/web/ar/lu/luLandDet.jsp?pnu=3611034035200490000&amp;isNoScr=script&amp;mode=search", "토지이음")</f>
        <v/>
      </c>
      <c r="O569" s="3" t="inlineStr">
        <is>
          <t>이레</t>
        </is>
      </c>
      <c r="P569" s="4" t="n">
        <v>1</v>
      </c>
      <c r="Q569" s="4" t="n">
        <v>2380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산5-5</t>
        </is>
      </c>
      <c r="B570" s="3" t="inlineStr">
        <is>
          <t>농림지역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215000</v>
      </c>
      <c r="G570" s="4" t="n">
        <v>62888</v>
      </c>
      <c r="H570" s="4" t="n">
        <v>19024</v>
      </c>
      <c r="I570" s="5" t="n">
        <v>11.3</v>
      </c>
      <c r="J570" s="5" t="n">
        <v>2.3</v>
      </c>
      <c r="K570" s="3" t="inlineStr">
        <is>
          <t>세종시 금남면 부용리 금강변 도로에 접한 임업용 산지 임야</t>
        </is>
      </c>
      <c r="L570" s="6">
        <f>HYPERLINK("https://fin.land.naver.com/articles/2656242918", "매물Link")</f>
        <v/>
      </c>
      <c r="M570" s="6">
        <f>HYPERLINK("https://map.naver.com/p/search/금남면 부용리 산5-5", "지도Link")</f>
        <v/>
      </c>
      <c r="N570" s="6">
        <f>HYPERLINK("http://www.eum.go.kr/web/ar/lu/luLandDet.jsp?pnu=3611034035200050005&amp;isNoScr=script&amp;mode=search", "토지이음")</f>
        <v/>
      </c>
      <c r="O570" s="3" t="inlineStr">
        <is>
          <t>하이엔드</t>
        </is>
      </c>
      <c r="P570" s="4" t="n">
        <v>2</v>
      </c>
      <c r="Q570" s="4" t="n">
        <v>62888</v>
      </c>
      <c r="R570" s="3" t="inlineStr">
        <is>
          <t>지정되지않음</t>
        </is>
      </c>
      <c r="S570" s="3" t="inlineStr">
        <is>
          <t>자연림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금남면 부용리 산81-1</t>
        </is>
      </c>
      <c r="B571" s="3" t="inlineStr">
        <is>
          <t>개발제한구역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100000</v>
      </c>
      <c r="G571" s="4" t="n">
        <v>22784</v>
      </c>
      <c r="H571" s="4" t="n">
        <v>6892</v>
      </c>
      <c r="I571" s="5" t="n">
        <v>14.5</v>
      </c>
      <c r="J571" s="5" t="n">
        <v>3.4</v>
      </c>
      <c r="K571" s="3" t="inlineStr">
        <is>
          <t>도시지역,자연녹지,개발제한구역,진입도로 있슴,전망좋음.조율가,4생활권근교</t>
        </is>
      </c>
      <c r="L571" s="6">
        <f>HYPERLINK("https://fin.land.naver.com/articles/2654138457", "매물Link")</f>
        <v/>
      </c>
      <c r="M571" s="6">
        <f>HYPERLINK("https://map.naver.com/p/search/금남면 부용리 산81-1", "지도Link")</f>
        <v/>
      </c>
      <c r="N571" s="6">
        <f>HYPERLINK("http://www.eum.go.kr/web/ar/lu/luLandDet.jsp?pnu=3611034035200810001&amp;isNoScr=script&amp;mode=search", "토지이음")</f>
        <v/>
      </c>
      <c r="O571" s="3" t="inlineStr">
        <is>
          <t>세종지원</t>
        </is>
      </c>
      <c r="P571" s="4" t="n">
        <v>1</v>
      </c>
      <c r="Q571" s="4" t="n">
        <v>17251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109-10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60000</v>
      </c>
      <c r="G572" s="4" t="n">
        <v>550</v>
      </c>
      <c r="H572" s="4" t="n">
        <v>166</v>
      </c>
      <c r="I572" s="5" t="n">
        <v>361.4</v>
      </c>
      <c r="J572" s="5" t="n">
        <v>62</v>
      </c>
      <c r="K572" s="3" t="inlineStr">
        <is>
          <t>4차선 도로에 인접하고 동학사와 근접해 있는 조망좋은 전원주택지</t>
        </is>
      </c>
      <c r="L572" s="6">
        <f>HYPERLINK("https://fin.land.naver.com/articles/2651194389", "매물Link")</f>
        <v/>
      </c>
      <c r="M572" s="6">
        <f>HYPERLINK("https://map.naver.com/p/search/금남면 성강리 109-10", "지도Link")</f>
        <v/>
      </c>
      <c r="N572" s="6">
        <f>HYPERLINK("http://www.eum.go.kr/web/ar/lu/luLandDet.jsp?pnu=3611034042101090010&amp;isNoScr=script&amp;mode=search", "토지이음")</f>
        <v/>
      </c>
      <c r="O572" s="3" t="inlineStr">
        <is>
          <t>가람</t>
        </is>
      </c>
      <c r="P572" s="4" t="n">
        <v>1</v>
      </c>
      <c r="Q572" s="4" t="n">
        <v>550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성강리 109-40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703</v>
      </c>
      <c r="H573" s="4" t="n">
        <v>213</v>
      </c>
      <c r="I573" s="5" t="n">
        <v>154.9</v>
      </c>
      <c r="J573" s="5" t="n">
        <v>62</v>
      </c>
      <c r="K573" s="3" t="inlineStr">
        <is>
          <t>세종시 금남면 성강리 전원주택지 비버리힐스 급매 010 3819 3805</t>
        </is>
      </c>
      <c r="L573" s="6">
        <f>HYPERLINK("https://fin.land.naver.com/articles/2656147482", "매물Link")</f>
        <v/>
      </c>
      <c r="M573" s="6">
        <f>HYPERLINK("https://map.naver.com/p/search/금남면 성강리 109-40", "지도Link")</f>
        <v/>
      </c>
      <c r="N573" s="6">
        <f>HYPERLINK("http://www.eum.go.kr/web/ar/lu/luLandDet.jsp?pnu=3611034042101090040&amp;isNoScr=script&amp;mode=search", "토지이음")</f>
        <v/>
      </c>
      <c r="O573" s="3" t="inlineStr">
        <is>
          <t>국제</t>
        </is>
      </c>
      <c r="P573" s="4" t="n">
        <v>1</v>
      </c>
      <c r="Q573" s="4" t="n">
        <v>580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성강리 119</t>
        </is>
      </c>
      <c r="B574" s="3" t="inlineStr">
        <is>
          <t>농림지역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100000</v>
      </c>
      <c r="G574" s="4" t="n">
        <v>3326</v>
      </c>
      <c r="H574" s="4" t="n">
        <v>1006</v>
      </c>
      <c r="I574" s="5" t="n">
        <v>99.40000000000001</v>
      </c>
      <c r="J574" s="5" t="n">
        <v>28.9</v>
      </c>
      <c r="K574" s="3" t="inlineStr">
        <is>
          <t>성강길인근토지 도보5분대단지아파트입주예정</t>
        </is>
      </c>
      <c r="L574" s="6">
        <f>HYPERLINK("https://fin.land.naver.com/articles/2652653766", "매물Link")</f>
        <v/>
      </c>
      <c r="M574" s="6">
        <f>HYPERLINK("https://map.naver.com/p/search/금남면 성강리 119", "지도Link")</f>
        <v/>
      </c>
      <c r="N574" s="6">
        <f>HYPERLINK("http://www.eum.go.kr/web/ar/lu/luLandDet.jsp?pnu=3611034042101190000&amp;isNoScr=script&amp;mode=search",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3326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188-4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26000</v>
      </c>
      <c r="G575" s="4" t="n">
        <v>792</v>
      </c>
      <c r="H575" s="4" t="n">
        <v>240</v>
      </c>
      <c r="I575" s="5" t="n">
        <v>108.3</v>
      </c>
      <c r="J575" s="5" t="n">
        <v>35.4</v>
      </c>
      <c r="K575" s="3" t="inlineStr">
        <is>
          <t>계룡산 뷰 전원주택부지 매매</t>
        </is>
      </c>
      <c r="L575" s="6">
        <f>HYPERLINK("https://fin.land.naver.com/articles/2655589005", "매물Link")</f>
        <v/>
      </c>
      <c r="M575" s="6">
        <f>HYPERLINK("https://map.naver.com/p/search/금남면 성강리 188-4", "지도Link")</f>
        <v/>
      </c>
      <c r="N575" s="6">
        <f>HYPERLINK("http://www.eum.go.kr/web/ar/lu/luLandDet.jsp?pnu=3611034042101880004&amp;isNoScr=script&amp;mode=search", "토지이음")</f>
        <v/>
      </c>
      <c r="O575" s="3" t="inlineStr">
        <is>
          <t>신세계</t>
        </is>
      </c>
      <c r="P575" s="4" t="n">
        <v>1</v>
      </c>
      <c r="Q575" s="4" t="n">
        <v>677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성강리 234</t>
        </is>
      </c>
      <c r="B576" s="3" t="inlineStr">
        <is>
          <t>농림지역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80000</v>
      </c>
      <c r="G576" s="4" t="n">
        <v>3316</v>
      </c>
      <c r="H576" s="4" t="n">
        <v>1003</v>
      </c>
      <c r="I576" s="5" t="n">
        <v>79.8</v>
      </c>
      <c r="J576" s="5" t="n">
        <v>40.3</v>
      </c>
      <c r="K576" s="3" t="inlineStr">
        <is>
          <t>접근성이좋은 도로에접해있는토지남세종IC10분거리근처대단지아파트분양예정</t>
        </is>
      </c>
      <c r="L576" s="6">
        <f>HYPERLINK("https://fin.land.naver.com/articles/2655500787", "매물Link")</f>
        <v/>
      </c>
      <c r="M576" s="6">
        <f>HYPERLINK("https://map.naver.com/p/search/금남면 성강리 234", "지도Link")</f>
        <v/>
      </c>
      <c r="N576" s="6">
        <f>HYPERLINK("http://www.eum.go.kr/web/ar/lu/luLandDet.jsp?pnu=3611034042102340000&amp;isNoScr=script&amp;mode=search", "토지이음")</f>
        <v/>
      </c>
      <c r="O576" s="3" t="inlineStr">
        <is>
          <t>성대리치</t>
        </is>
      </c>
      <c r="P576" s="4" t="n">
        <v>1</v>
      </c>
      <c r="Q576" s="4" t="n">
        <v>3316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240</t>
        </is>
      </c>
      <c r="B577" s="3" t="inlineStr">
        <is>
          <t>생산관리지역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813</v>
      </c>
      <c r="H577" s="4" t="n">
        <v>246</v>
      </c>
      <c r="I577" s="5" t="n">
        <v>284.6</v>
      </c>
      <c r="J577" s="5" t="n">
        <v>71.3</v>
      </c>
      <c r="K577" s="3" t="inlineStr">
        <is>
          <t>사진0  이쁘게 잘꾸며진 정원이있는 전원주택 토지 매매</t>
        </is>
      </c>
      <c r="L577" s="6">
        <f>HYPERLINK("https://fin.land.naver.com/articles/2652662384", "매물Link")</f>
        <v/>
      </c>
      <c r="M577" s="6">
        <f>HYPERLINK("https://map.naver.com/p/search/금남면 성강리 240", "지도Link")</f>
        <v/>
      </c>
      <c r="N577" s="6">
        <f>HYPERLINK("http://www.eum.go.kr/web/ar/lu/luLandDet.jsp?pnu=3611034042102400000&amp;isNoScr=script&amp;mode=search", "토지이음")</f>
        <v/>
      </c>
      <c r="O577" s="3" t="inlineStr">
        <is>
          <t>어울림</t>
        </is>
      </c>
      <c r="P577" s="4" t="n">
        <v>1</v>
      </c>
      <c r="Q577" s="4" t="n">
        <v>814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306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21000</v>
      </c>
      <c r="G578" s="4" t="n">
        <v>463</v>
      </c>
      <c r="H578" s="4" t="n">
        <v>140</v>
      </c>
      <c r="I578" s="5" t="n">
        <v>150</v>
      </c>
      <c r="J578" s="5" t="n">
        <v>78.8</v>
      </c>
      <c r="K578" s="3" t="inlineStr">
        <is>
          <t>급매.나대지와 전 2필지,도로접,전원주택지로 추천</t>
        </is>
      </c>
      <c r="L578" s="6">
        <f>HYPERLINK("https://fin.land.naver.com/articles/2651464416", "매물Link")</f>
        <v/>
      </c>
      <c r="M578" s="6">
        <f>HYPERLINK("https://map.naver.com/p/search/금남면 성강리 306", "지도Link")</f>
        <v/>
      </c>
      <c r="N578" s="6">
        <f>HYPERLINK("http://www.eum.go.kr/web/ar/lu/luLandDet.jsp?pnu=3611034042103060000&amp;isNoScr=script&amp;mode=search", "토지이음")</f>
        <v/>
      </c>
      <c r="O578" s="3" t="inlineStr">
        <is>
          <t>담뜰</t>
        </is>
      </c>
      <c r="P578" s="4" t="n">
        <v>2</v>
      </c>
      <c r="Q578" s="4" t="n">
        <v>281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22000</v>
      </c>
      <c r="G579" s="4" t="n">
        <v>462</v>
      </c>
      <c r="H579" s="4" t="n">
        <v>140</v>
      </c>
      <c r="I579" s="5" t="n">
        <v>157.1</v>
      </c>
      <c r="J579" s="5" t="n">
        <v>78.8</v>
      </c>
      <c r="K579" s="3" t="inlineStr">
        <is>
          <t>시내권 차량10분거리,도로접,조그만 집 지어 조용한 전원생활,텃밭이용가,</t>
        </is>
      </c>
      <c r="L579" s="6">
        <f>HYPERLINK("https://fin.land.naver.com/articles/2652709212",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세종지원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21000</v>
      </c>
      <c r="G580" s="4" t="n">
        <v>463</v>
      </c>
      <c r="H580" s="4" t="n">
        <v>140</v>
      </c>
      <c r="I580" s="5" t="n">
        <v>150</v>
      </c>
      <c r="J580" s="5" t="n">
        <v>78.8</v>
      </c>
      <c r="K580" s="3" t="inlineStr">
        <is>
          <t>세종시 근접한 조용한 주택지</t>
        </is>
      </c>
      <c r="L580" s="6">
        <f>HYPERLINK("https://fin.land.naver.com/articles/2655550854",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325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43</v>
      </c>
      <c r="K581" s="3" t="inlineStr">
        <is>
          <t>경관과 조망이 좋은 마을 포장도로에 접한 계획관리지역의 대지와 전 입니다</t>
        </is>
      </c>
      <c r="L581" s="6">
        <f>HYPERLINK("https://fin.land.naver.com/articles/2654790132", "매물Link")</f>
        <v/>
      </c>
      <c r="M581" s="6">
        <f>HYPERLINK("https://map.naver.com/p/search/금남면 성강리 325", "지도Link")</f>
        <v/>
      </c>
      <c r="N581" s="6">
        <f>HYPERLINK("http://www.eum.go.kr/web/ar/lu/luLandDet.jsp?pnu=3611034042103250000&amp;isNoScr=script&amp;mode=search", "토지이음")</f>
        <v/>
      </c>
      <c r="O581" s="3" t="inlineStr">
        <is>
          <t>스마일세종</t>
        </is>
      </c>
      <c r="P581" s="4" t="n">
        <v>1</v>
      </c>
      <c r="Q581" s="4" t="n">
        <v>182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349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8000</v>
      </c>
      <c r="G582" s="4" t="n">
        <v>202</v>
      </c>
      <c r="H582" s="4" t="n">
        <v>61</v>
      </c>
      <c r="I582" s="5" t="n">
        <v>131.1</v>
      </c>
      <c r="J582" s="5" t="n">
        <v>32.6</v>
      </c>
      <c r="K582" s="3" t="inlineStr">
        <is>
          <t>도로 예쁘게 접한 저렴이 토지</t>
        </is>
      </c>
      <c r="L582" s="6">
        <f>HYPERLINK("https://fin.land.naver.com/articles/2651733850", "매물Link")</f>
        <v/>
      </c>
      <c r="M582" s="6">
        <f>HYPERLINK("https://map.naver.com/p/search/금남면 성강리 349", "지도Link")</f>
        <v/>
      </c>
      <c r="N582" s="6">
        <f>HYPERLINK("http://www.eum.go.kr/web/ar/lu/luLandDet.jsp?pnu=3611034042103490000&amp;isNoScr=script&amp;mode=search", "토지이음")</f>
        <v/>
      </c>
      <c r="O582" s="3" t="inlineStr">
        <is>
          <t>THE행복</t>
        </is>
      </c>
      <c r="P582" s="4" t="n">
        <v>1</v>
      </c>
      <c r="Q582" s="4" t="n">
        <v>202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금남면 성강리 456</t>
        </is>
      </c>
      <c r="B583" s="3" t="inlineStr">
        <is>
          <t>생산관리지역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20000</v>
      </c>
      <c r="G583" s="4" t="n">
        <v>426</v>
      </c>
      <c r="H583" s="4" t="n">
        <v>129</v>
      </c>
      <c r="I583" s="5" t="n">
        <v>155</v>
      </c>
      <c r="J583" s="5" t="n">
        <v>25.6</v>
      </c>
      <c r="K583" s="3" t="inlineStr">
        <is>
          <t>비닐하우스, 조경수식재,  정비잘되어있는 토지입니다.</t>
        </is>
      </c>
      <c r="L583" s="6">
        <f>HYPERLINK("https://fin.land.naver.com/articles/2651395945", "매물Link")</f>
        <v/>
      </c>
      <c r="M583" s="6">
        <f>HYPERLINK("https://map.naver.com/p/search/금남면 성강리 456", "지도Link")</f>
        <v/>
      </c>
      <c r="N583" s="6">
        <f>HYPERLINK("http://www.eum.go.kr/web/ar/lu/luLandDet.jsp?pnu=3611034042104560000&amp;isNoScr=script&amp;mode=search",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426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성덕리 170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100800</v>
      </c>
      <c r="G584" s="4" t="n">
        <v>1851</v>
      </c>
      <c r="H584" s="4" t="n">
        <v>560</v>
      </c>
      <c r="I584" s="5" t="n">
        <v>180</v>
      </c>
      <c r="J584" s="5" t="n">
        <v>69.09999999999999</v>
      </c>
      <c r="K584" s="3" t="inlineStr">
        <is>
          <t>세종시 초인접 성덕리 토지, 건축가능, 개발여지 많은 토지</t>
        </is>
      </c>
      <c r="L584" s="6">
        <f>HYPERLINK("https://fin.land.naver.com/articles/2652093689", "매물Link")</f>
        <v/>
      </c>
      <c r="M584" s="6">
        <f>HYPERLINK("https://map.naver.com/p/search/금남면 성덕리 170", "지도Link")</f>
        <v/>
      </c>
      <c r="N584" s="6">
        <f>HYPERLINK("http://www.eum.go.kr/web/ar/lu/luLandDet.jsp?pnu=3611034040101700000&amp;isNoScr=script&amp;mode=search", "토지이음")</f>
        <v/>
      </c>
      <c r="O584" s="3" t="inlineStr">
        <is>
          <t>미스터홈즈강남지사</t>
        </is>
      </c>
      <c r="P584" s="4" t="n">
        <v>1</v>
      </c>
      <c r="Q584" s="4" t="n">
        <v>1851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세로각지(가)</t>
        </is>
      </c>
    </row>
    <row r="585">
      <c r="A585" s="3" t="inlineStr">
        <is>
          <t>금남면 성덕리 195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274000</v>
      </c>
      <c r="G585" s="4" t="n">
        <v>3629</v>
      </c>
      <c r="H585" s="4" t="n">
        <v>1098</v>
      </c>
      <c r="I585" s="5" t="n">
        <v>249.5</v>
      </c>
      <c r="J585" s="5" t="n">
        <v>134.8</v>
      </c>
      <c r="K585" s="3" t="inlineStr">
        <is>
          <t>계획관리지역 대지와답 분할매매가능</t>
        </is>
      </c>
      <c r="L585" s="6">
        <f>HYPERLINK("https://fin.land.naver.com/articles/2656227317", "매물Link")</f>
        <v/>
      </c>
      <c r="M585" s="6">
        <f>HYPERLINK("https://map.naver.com/p/search/금남면 성덕리 195", "지도Link")</f>
        <v/>
      </c>
      <c r="N585" s="6">
        <f>HYPERLINK("http://www.eum.go.kr/web/ar/lu/luLandDet.jsp?pnu=3611034040101950000&amp;isNoScr=script&amp;mode=search", "토지이음")</f>
        <v/>
      </c>
      <c r="O585" s="3" t="inlineStr">
        <is>
          <t>열린</t>
        </is>
      </c>
      <c r="P585" s="4" t="n">
        <v>1</v>
      </c>
      <c r="Q585" s="4" t="n">
        <v>470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197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106.7</v>
      </c>
      <c r="K586" s="3" t="inlineStr">
        <is>
          <t>삼면이 도로에접한 남향 토지,전과 대지3필지,분할매매가능,차량진입가능,</t>
        </is>
      </c>
      <c r="L586" s="6">
        <f>HYPERLINK("https://fin.land.naver.com/articles/2656160502", "매물Link")</f>
        <v/>
      </c>
      <c r="M586" s="6">
        <f>HYPERLINK("https://map.naver.com/p/search/금남면 성덕리 197", "지도Link")</f>
        <v/>
      </c>
      <c r="N586" s="6">
        <f>HYPERLINK("http://www.eum.go.kr/web/ar/lu/luLandDet.jsp?pnu=3611034040101970000&amp;isNoScr=script&amp;mode=search", "토지이음")</f>
        <v/>
      </c>
      <c r="O586" s="3" t="inlineStr">
        <is>
          <t>담뜰</t>
        </is>
      </c>
      <c r="P586" s="4" t="n">
        <v>1</v>
      </c>
      <c r="Q586" s="4" t="n">
        <v>3014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금남면 성덕리 200-2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1339</v>
      </c>
      <c r="H587" s="4" t="n">
        <v>405</v>
      </c>
      <c r="I587" s="5" t="n">
        <v>246.9</v>
      </c>
      <c r="J587" s="5" t="n">
        <v>65</v>
      </c>
      <c r="K587" s="3" t="inlineStr">
        <is>
          <t>nan</t>
        </is>
      </c>
      <c r="L587" s="6">
        <f>HYPERLINK("https://fin.land.naver.com/articles/2651560176", "매물Link")</f>
        <v/>
      </c>
      <c r="M587" s="6">
        <f>HYPERLINK("https://map.naver.com/p/search/금남면 성덕리 200-2", "지도Link")</f>
        <v/>
      </c>
      <c r="N587" s="6">
        <f>HYPERLINK("http://www.eum.go.kr/web/ar/lu/luLandDet.jsp?pnu=3611034040102000002&amp;isNoScr=script&amp;mode=search", "토지이음")</f>
        <v/>
      </c>
      <c r="O587" s="3" t="inlineStr">
        <is>
          <t>부엉이</t>
        </is>
      </c>
      <c r="P587" s="4" t="n">
        <v>1</v>
      </c>
      <c r="Q587" s="4" t="n">
        <v>1339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205</t>
        </is>
      </c>
      <c r="B588" s="3" t="inlineStr">
        <is>
          <t>보전관리지역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52500</v>
      </c>
      <c r="G588" s="4" t="n">
        <v>968</v>
      </c>
      <c r="H588" s="4" t="n">
        <v>293</v>
      </c>
      <c r="I588" s="5" t="n">
        <v>179.2</v>
      </c>
      <c r="J588" s="5" t="n">
        <v>65</v>
      </c>
      <c r="K588" s="3" t="inlineStr">
        <is>
          <t>200p대 분할급매매 세종 신도시 접경지 개발호재지 도로접</t>
        </is>
      </c>
      <c r="L588" s="6">
        <f>HYPERLINK("https://fin.land.naver.com/articles/2652292498", "매물Link")</f>
        <v/>
      </c>
      <c r="M588" s="6">
        <f>HYPERLINK("https://map.naver.com/p/search/금남면 성덕리 205", "지도Link")</f>
        <v/>
      </c>
      <c r="N588" s="6">
        <f>HYPERLINK("http://www.eum.go.kr/web/ar/lu/luLandDet.jsp?pnu=3611034040102050000&amp;isNoScr=script&amp;mode=search", "토지이음")</f>
        <v/>
      </c>
      <c r="O588" s="3" t="inlineStr">
        <is>
          <t>세종강남</t>
        </is>
      </c>
      <c r="P588" s="4" t="n">
        <v>1</v>
      </c>
      <c r="Q588" s="4" t="n">
        <v>1936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성덕리 290-1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1091</v>
      </c>
      <c r="H589" s="4" t="n">
        <v>330</v>
      </c>
      <c r="I589" s="5" t="n">
        <v>303</v>
      </c>
      <c r="J589" s="5" t="n">
        <v>69.7</v>
      </c>
      <c r="K589" s="3" t="inlineStr">
        <is>
          <t>대전 세종 접근성 좋은  세종시청 10분이내 활용도 높은 토지</t>
        </is>
      </c>
      <c r="L589" s="6">
        <f>HYPERLINK("https://fin.land.naver.com/articles/2651883261", "매물Link")</f>
        <v/>
      </c>
      <c r="M589" s="6">
        <f>HYPERLINK("https://map.naver.com/p/search/금남면 성덕리 290-1", "지도Link")</f>
        <v/>
      </c>
      <c r="N589" s="6">
        <f>HYPERLINK("http://www.eum.go.kr/web/ar/lu/luLandDet.jsp?pnu=3611034040102900001&amp;isNoScr=script&amp;mode=search", "토지이음")</f>
        <v/>
      </c>
      <c r="O589" s="3" t="inlineStr">
        <is>
          <t>새롬삼둥이</t>
        </is>
      </c>
      <c r="P589" s="4" t="n">
        <v>1</v>
      </c>
      <c r="Q589" s="4" t="n">
        <v>1091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311-26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31200</v>
      </c>
      <c r="G590" s="4" t="n">
        <v>382</v>
      </c>
      <c r="H590" s="4" t="n">
        <v>116</v>
      </c>
      <c r="I590" s="5" t="n">
        <v>269</v>
      </c>
      <c r="J590" s="5" t="n">
        <v>115</v>
      </c>
      <c r="K590" s="3" t="inlineStr">
        <is>
          <t>세종시 15분이내 전원주택지로 대전 접근성도 좋습니다</t>
        </is>
      </c>
      <c r="L590" s="6">
        <f>HYPERLINK("https://fin.land.naver.com/articles/2652125378", "매물Link")</f>
        <v/>
      </c>
      <c r="M590" s="6">
        <f>HYPERLINK("https://map.naver.com/p/search/금남면 성덕리 311-26", "지도Link")</f>
        <v/>
      </c>
      <c r="N590" s="6">
        <f>HYPERLINK("http://www.eum.go.kr/web/ar/lu/luLandDet.jsp?pnu=3611034040103110026&amp;isNoScr=script&amp;mode=search", "토지이음")</f>
        <v/>
      </c>
      <c r="O590" s="3" t="inlineStr">
        <is>
          <t>미스터홈즈강남지사</t>
        </is>
      </c>
      <c r="P590" s="4" t="n">
        <v>1</v>
      </c>
      <c r="Q590" s="4" t="n">
        <v>382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성덕리 406-1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31000</v>
      </c>
      <c r="G591" s="4" t="n">
        <v>1085</v>
      </c>
      <c r="H591" s="4" t="n">
        <v>328</v>
      </c>
      <c r="I591" s="5" t="n">
        <v>94.5</v>
      </c>
      <c r="J591" s="5" t="n">
        <v>48.2</v>
      </c>
      <c r="K591" s="3" t="inlineStr">
        <is>
          <t>마을 인접해 있는 토지로 투자가치 높습니다</t>
        </is>
      </c>
      <c r="L591" s="6">
        <f>HYPERLINK("https://fin.land.naver.com/articles/2655050375", "매물Link")</f>
        <v/>
      </c>
      <c r="M591" s="6">
        <f>HYPERLINK("https://map.naver.com/p/search/금남면 성덕리 406-1", "지도Link")</f>
        <v/>
      </c>
      <c r="N591" s="6">
        <f>HYPERLINK("http://www.eum.go.kr/web/ar/lu/luLandDet.jsp?pnu=3611034040104060001&amp;isNoScr=script&amp;mode=search", "토지이음")</f>
        <v/>
      </c>
      <c r="O591" s="3" t="inlineStr">
        <is>
          <t>한마루</t>
        </is>
      </c>
      <c r="P591" s="4" t="n">
        <v>1</v>
      </c>
      <c r="Q591" s="4" t="n">
        <v>1085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세로각지(가)</t>
        </is>
      </c>
    </row>
    <row r="592">
      <c r="A592" s="3" t="inlineStr">
        <is>
          <t>금남면 성덕리 456-3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공장용지</t>
        </is>
      </c>
      <c r="E592" s="3" t="inlineStr">
        <is>
          <t>매매</t>
        </is>
      </c>
      <c r="F592" s="4" t="n">
        <v>3700000</v>
      </c>
      <c r="G592" s="4" t="n">
        <v>34948</v>
      </c>
      <c r="H592" s="4" t="n">
        <v>10572</v>
      </c>
      <c r="I592" s="5" t="n">
        <v>350</v>
      </c>
      <c r="J592" s="5" t="n">
        <v>123.9</v>
      </c>
      <c r="K592" s="3" t="inlineStr">
        <is>
          <t>시행개발지 추천. 금강조망 계획관리, 최고입지</t>
        </is>
      </c>
      <c r="L592" s="6">
        <f>HYPERLINK("https://fin.land.naver.com/articles/2652032593", "매물Link")</f>
        <v/>
      </c>
      <c r="M592" s="6">
        <f>HYPERLINK("https://map.naver.com/p/search/금남면 성덕리 456-3", "지도Link")</f>
        <v/>
      </c>
      <c r="N592" s="6">
        <f>HYPERLINK("http://www.eum.go.kr/web/ar/lu/luLandDet.jsp?pnu=3611034040104560003&amp;isNoScr=script&amp;mode=search",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5512</v>
      </c>
      <c r="R592" s="3" t="inlineStr">
        <is>
          <t>지정되지않음</t>
        </is>
      </c>
      <c r="S592" s="3" t="inlineStr">
        <is>
          <t>공업용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465-5</t>
        </is>
      </c>
      <c r="B593" s="3" t="inlineStr">
        <is>
          <t>보전관리지역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49000</v>
      </c>
      <c r="G593" s="4" t="n">
        <v>493</v>
      </c>
      <c r="H593" s="4" t="n">
        <v>149</v>
      </c>
      <c r="I593" s="5" t="n">
        <v>328.9</v>
      </c>
      <c r="J593" s="5" t="n">
        <v>65.3</v>
      </c>
      <c r="K593" s="3" t="inlineStr">
        <is>
          <t>가격협의,멀리 금강이 보이는 단독주택지로 추천</t>
        </is>
      </c>
      <c r="L593" s="6">
        <f>HYPERLINK("https://fin.land.naver.com/articles/2651993176", "매물Link")</f>
        <v/>
      </c>
      <c r="M593" s="6">
        <f>HYPERLINK("https://map.naver.com/p/search/금남면 성덕리 465-5", "지도Link")</f>
        <v/>
      </c>
      <c r="N593" s="6">
        <f>HYPERLINK("http://www.eum.go.kr/web/ar/lu/luLandDet.jsp?pnu=3611034040104650005&amp;isNoScr=script&amp;mode=search", "토지이음")</f>
        <v/>
      </c>
      <c r="O593" s="3" t="inlineStr">
        <is>
          <t>담뜰</t>
        </is>
      </c>
      <c r="P593" s="4" t="n">
        <v>1</v>
      </c>
      <c r="Q593" s="4" t="n">
        <v>493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성덕리 54</t>
        </is>
      </c>
      <c r="B594" s="3" t="inlineStr">
        <is>
          <t>농림지역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104000</v>
      </c>
      <c r="G594" s="4" t="n">
        <v>2026</v>
      </c>
      <c r="H594" s="4" t="n">
        <v>613</v>
      </c>
      <c r="I594" s="5" t="n">
        <v>169.7</v>
      </c>
      <c r="J594" s="5" t="n">
        <v>52.7</v>
      </c>
      <c r="K594" s="3" t="inlineStr">
        <is>
          <t>급매,3생활권 인근,필지 분할 매매 가능.</t>
        </is>
      </c>
      <c r="L594" s="6">
        <f>HYPERLINK("https://fin.land.naver.com/articles/2654766847", "매물Link")</f>
        <v/>
      </c>
      <c r="M594" s="6">
        <f>HYPERLINK("https://map.naver.com/p/search/금남면 성덕리 54", "지도Link")</f>
        <v/>
      </c>
      <c r="N594" s="6">
        <f>HYPERLINK("http://www.eum.go.kr/web/ar/lu/luLandDet.jsp?pnu=3611034040100540000&amp;isNoScr=script&amp;mode=search", "토지이음")</f>
        <v/>
      </c>
      <c r="O594" s="3" t="inlineStr">
        <is>
          <t>새롬강남</t>
        </is>
      </c>
      <c r="P594" s="4" t="n">
        <v>2</v>
      </c>
      <c r="Q594" s="4" t="n">
        <v>2026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성덕리 87-4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21000</v>
      </c>
      <c r="G595" s="4" t="n">
        <v>395</v>
      </c>
      <c r="H595" s="4" t="n">
        <v>119</v>
      </c>
      <c r="I595" s="5" t="n">
        <v>176.5</v>
      </c>
      <c r="J595" s="5" t="n">
        <v>56</v>
      </c>
      <c r="K595" s="3" t="inlineStr">
        <is>
          <t>지분매각 1인지분</t>
        </is>
      </c>
      <c r="L595" s="6">
        <f>HYPERLINK("https://fin.land.naver.com/articles/2654055500", "매물Link")</f>
        <v/>
      </c>
      <c r="M595" s="6">
        <f>HYPERLINK("https://map.naver.com/p/search/금남면 성덕리 87-4", "지도Link")</f>
        <v/>
      </c>
      <c r="N595" s="6">
        <f>HYPERLINK("http://www.eum.go.kr/web/ar/lu/luLandDet.jsp?pnu=3611034040100870004&amp;isNoScr=script&amp;mode=search", "토지이음")</f>
        <v/>
      </c>
      <c r="O595" s="3" t="inlineStr">
        <is>
          <t>일등사무소</t>
        </is>
      </c>
      <c r="P595" s="4" t="n">
        <v>1</v>
      </c>
      <c r="Q595" s="4" t="n">
        <v>2373</v>
      </c>
      <c r="R595" s="3" t="inlineStr">
        <is>
          <t>지정되지않음</t>
        </is>
      </c>
      <c r="S595" s="3" t="inlineStr">
        <is>
          <t>답기타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소로각지</t>
        </is>
      </c>
    </row>
    <row r="596">
      <c r="A596" s="3" t="inlineStr">
        <is>
          <t>금남면 성덕리 99-4</t>
        </is>
      </c>
      <c r="B596" s="3" t="inlineStr">
        <is>
          <t>생산관리지역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35000</v>
      </c>
      <c r="G596" s="4" t="n">
        <v>941</v>
      </c>
      <c r="H596" s="4" t="n">
        <v>285</v>
      </c>
      <c r="I596" s="5" t="n">
        <v>122.8</v>
      </c>
      <c r="J596" s="5" t="n">
        <v>63.5</v>
      </c>
      <c r="K596" s="3" t="inlineStr">
        <is>
          <t>o급매o투자용으로 적합 시세대비 저렴</t>
        </is>
      </c>
      <c r="L596" s="6">
        <f>HYPERLINK("https://fin.land.naver.com/articles/2654809855", "매물Link")</f>
        <v/>
      </c>
      <c r="M596" s="6">
        <f>HYPERLINK("https://map.naver.com/p/search/금남면 성덕리 99-4", "지도Link")</f>
        <v/>
      </c>
      <c r="N596" s="6">
        <f>HYPERLINK("http://www.eum.go.kr/web/ar/lu/luLandDet.jsp?pnu=3611034040100990004&amp;isNoScr=script&amp;mode=search", "토지이음")</f>
        <v/>
      </c>
      <c r="O596" s="3" t="inlineStr">
        <is>
          <t>가치잇는</t>
        </is>
      </c>
      <c r="P596" s="4" t="n">
        <v>5</v>
      </c>
      <c r="Q596" s="4" t="n">
        <v>941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가로장방</t>
        </is>
      </c>
      <c r="V596" s="3" t="inlineStr">
        <is>
          <t>맹지</t>
        </is>
      </c>
    </row>
    <row r="597">
      <c r="A597" s="3" t="inlineStr">
        <is>
          <t>금남면 성덕리 산21-30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63000</v>
      </c>
      <c r="G597" s="4" t="n">
        <v>856</v>
      </c>
      <c r="H597" s="4" t="n">
        <v>259</v>
      </c>
      <c r="I597" s="5" t="n">
        <v>243.2</v>
      </c>
      <c r="J597" s="5" t="n">
        <v>9.800000000000001</v>
      </c>
      <c r="K597" s="3" t="inlineStr">
        <is>
          <t>금남면 성덕리 금강조망뷰 최상전원주택지 투자용 적극추천</t>
        </is>
      </c>
      <c r="L597" s="6">
        <f>HYPERLINK("https://fin.land.naver.com/articles/2652753408", "매물Link")</f>
        <v/>
      </c>
      <c r="M597" s="6">
        <f>HYPERLINK("https://map.naver.com/p/search/금남면 성덕리 산21-30", "지도Link")</f>
        <v/>
      </c>
      <c r="N597" s="6">
        <f>HYPERLINK("http://www.eum.go.kr/web/ar/lu/luLandDet.jsp?pnu=3611034040200210030&amp;isNoScr=script&amp;mode=search", "토지이음")</f>
        <v/>
      </c>
      <c r="O597" s="3" t="inlineStr">
        <is>
          <t>고운맘</t>
        </is>
      </c>
      <c r="P597" s="4" t="n">
        <v>1</v>
      </c>
      <c r="Q597" s="4" t="n">
        <v>856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신촌리 112-10</t>
        </is>
      </c>
      <c r="B598" s="3" t="inlineStr">
        <is>
          <t>제1종일반주거지역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63700</v>
      </c>
      <c r="G598" s="4" t="n">
        <v>300</v>
      </c>
      <c r="H598" s="4" t="n">
        <v>91</v>
      </c>
      <c r="I598" s="5" t="n">
        <v>700</v>
      </c>
      <c r="J598" s="5" t="n">
        <v>293.5</v>
      </c>
      <c r="K598" s="3" t="inlineStr">
        <is>
          <t>급.세종시 신촌리 토지</t>
        </is>
      </c>
      <c r="L598" s="6">
        <f>HYPERLINK("https://fin.land.naver.com/articles/2651924904", "매물Link")</f>
        <v/>
      </c>
      <c r="M598" s="6">
        <f>HYPERLINK("https://map.naver.com/p/search/금남면 신촌리 112-10", "지도Link")</f>
        <v/>
      </c>
      <c r="N598" s="6">
        <f>HYPERLINK("http://www.eum.go.kr/web/ar/lu/luLandDet.jsp?pnu=3611034038101120010&amp;isNoScr=script&amp;mode=search", "토지이음")</f>
        <v/>
      </c>
      <c r="O598" s="3" t="inlineStr">
        <is>
          <t>강아지풀</t>
        </is>
      </c>
      <c r="P598" s="4" t="n">
        <v>1</v>
      </c>
      <c r="Q598" s="4" t="n">
        <v>300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신촌리 126-1</t>
        </is>
      </c>
      <c r="B599" s="3" t="inlineStr">
        <is>
          <t>제1종일반주거지역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84000</v>
      </c>
      <c r="G599" s="4" t="n">
        <v>277</v>
      </c>
      <c r="H599" s="4" t="n">
        <v>84</v>
      </c>
      <c r="I599" s="5" t="n">
        <v>1000</v>
      </c>
      <c r="J599" s="5" t="n">
        <v>312.4</v>
      </c>
      <c r="K599" s="3" t="inlineStr">
        <is>
          <t>금남초 라인 귀한 토지. 세종시 생활권 접근성 우수. 귀한 원주민토지</t>
        </is>
      </c>
      <c r="L599" s="6">
        <f>HYPERLINK("https://fin.land.naver.com/articles/2652988467", "매물Link")</f>
        <v/>
      </c>
      <c r="M599" s="6">
        <f>HYPERLINK("https://map.naver.com/p/search/금남면 신촌리 126-1", "지도Link")</f>
        <v/>
      </c>
      <c r="N599" s="6">
        <f>HYPERLINK("http://www.eum.go.kr/web/ar/lu/luLandDet.jsp?pnu=3611034038101260001&amp;isNoScr=script&amp;mode=search", "토지이음")</f>
        <v/>
      </c>
      <c r="O599" s="3" t="inlineStr">
        <is>
          <t>세종금밭</t>
        </is>
      </c>
      <c r="P599" s="4" t="n">
        <v>2</v>
      </c>
      <c r="Q599" s="4" t="n">
        <v>257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25</t>
        </is>
      </c>
      <c r="B600" s="3" t="inlineStr">
        <is>
          <t>자연녹지지역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60000</v>
      </c>
      <c r="G600" s="4" t="n">
        <v>655</v>
      </c>
      <c r="H600" s="4" t="n">
        <v>198</v>
      </c>
      <c r="I600" s="5" t="n">
        <v>303</v>
      </c>
      <c r="J600" s="5" t="n">
        <v>149.4</v>
      </c>
      <c r="K600" s="3" t="inlineStr">
        <is>
          <t>대지 약 200 구옥 약20  있음 전원주택으로 급매</t>
        </is>
      </c>
      <c r="L600" s="6">
        <f>HYPERLINK("https://fin.land.naver.com/articles/2656103862", "매물Link")</f>
        <v/>
      </c>
      <c r="M600" s="6">
        <f>HYPERLINK("https://map.naver.com/p/search/금남면 신촌리 25", "지도Link")</f>
        <v/>
      </c>
      <c r="N600" s="6">
        <f>HYPERLINK("http://www.eum.go.kr/web/ar/lu/luLandDet.jsp?pnu=3611034038100250000&amp;isNoScr=script&amp;mode=search", "토지이음")</f>
        <v/>
      </c>
      <c r="O600" s="3" t="inlineStr">
        <is>
          <t>시티아이</t>
        </is>
      </c>
      <c r="P600" s="4" t="n">
        <v>1</v>
      </c>
      <c r="Q600" s="4" t="n">
        <v>655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신촌리 54</t>
        </is>
      </c>
      <c r="B601" s="3" t="inlineStr">
        <is>
          <t>개발제한구역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83000</v>
      </c>
      <c r="G601" s="4" t="n">
        <v>3451</v>
      </c>
      <c r="H601" s="4" t="n">
        <v>1044</v>
      </c>
      <c r="I601" s="5" t="n">
        <v>79.5</v>
      </c>
      <c r="J601" s="5" t="n">
        <v>27.4</v>
      </c>
      <c r="K601" s="3" t="inlineStr">
        <is>
          <t>세종시 3생활권 근접토지도로접함, 협의조정가능</t>
        </is>
      </c>
      <c r="L601" s="6">
        <f>HYPERLINK("https://fin.land.naver.com/articles/2656396909", "매물Link")</f>
        <v/>
      </c>
      <c r="M601" s="6">
        <f>HYPERLINK("https://map.naver.com/p/search/금남면 신촌리 54", "지도Link")</f>
        <v/>
      </c>
      <c r="N601" s="6">
        <f>HYPERLINK("http://www.eum.go.kr/web/ar/lu/luLandDet.jsp?pnu=3611034038100540000&amp;isNoScr=script&amp;mode=search",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1170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신촌리 84</t>
        </is>
      </c>
      <c r="B602" s="3" t="inlineStr">
        <is>
          <t>제1종일반주거지역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170000</v>
      </c>
      <c r="G602" s="4" t="n">
        <v>1446</v>
      </c>
      <c r="H602" s="4" t="n">
        <v>437</v>
      </c>
      <c r="I602" s="5" t="n">
        <v>389</v>
      </c>
      <c r="J602" s="5" t="n">
        <v>166.6</v>
      </c>
      <c r="K602" s="3" t="inlineStr">
        <is>
          <t>nan</t>
        </is>
      </c>
      <c r="L602" s="6">
        <f>HYPERLINK("https://fin.land.naver.com/articles/2651414726", "매물Link")</f>
        <v/>
      </c>
      <c r="M602" s="6">
        <f>HYPERLINK("https://map.naver.com/p/search/금남면 신촌리 84", "지도Link")</f>
        <v/>
      </c>
      <c r="N602" s="6">
        <f>HYPERLINK("http://www.eum.go.kr/web/ar/lu/luLandDet.jsp?pnu=3611034038100840000&amp;isNoScr=script&amp;mode=search", "토지이음")</f>
        <v/>
      </c>
      <c r="O602" s="3" t="inlineStr">
        <is>
          <t>KB</t>
        </is>
      </c>
      <c r="P602" s="4" t="n">
        <v>1</v>
      </c>
      <c r="Q602" s="4" t="n">
        <v>417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신촌리 산14-4</t>
        </is>
      </c>
      <c r="B603" s="3" t="inlineStr">
        <is>
          <t>개발제한구역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78000</v>
      </c>
      <c r="G603" s="4" t="n">
        <v>25983</v>
      </c>
      <c r="H603" s="4" t="n">
        <v>7860</v>
      </c>
      <c r="I603" s="5" t="n">
        <v>9.9</v>
      </c>
      <c r="J603" s="5" t="n">
        <v>3.2</v>
      </c>
      <c r="K603" s="3" t="inlineStr">
        <is>
          <t>세종시 3생활권 근접 투자물건</t>
        </is>
      </c>
      <c r="L603" s="6">
        <f>HYPERLINK("https://fin.land.naver.com/articles/2650955029", "매물Link")</f>
        <v/>
      </c>
      <c r="M603" s="6">
        <f>HYPERLINK("https://map.naver.com/p/search/금남면 신촌리 산14-4", "지도Link")</f>
        <v/>
      </c>
      <c r="N603" s="6">
        <f>HYPERLINK("http://www.eum.go.kr/web/ar/lu/luLandDet.jsp?pnu=3611034038200140004&amp;isNoScr=script&amp;mode=search",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25983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106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73600</v>
      </c>
      <c r="G604" s="4" t="n">
        <v>1631</v>
      </c>
      <c r="H604" s="4" t="n">
        <v>493</v>
      </c>
      <c r="I604" s="5" t="n">
        <v>149.3</v>
      </c>
      <c r="J604" s="5" t="n">
        <v>108.6</v>
      </c>
      <c r="K604" s="3" t="inlineStr">
        <is>
          <t>nan</t>
        </is>
      </c>
      <c r="L604" s="6">
        <f>HYPERLINK("https://fin.land.naver.com/articles/2656004035", "매물Link")</f>
        <v/>
      </c>
      <c r="M604" s="6">
        <f>HYPERLINK("https://map.naver.com/p/search/금남면 영곡리 106", "지도Link")</f>
        <v/>
      </c>
      <c r="N604" s="6">
        <f>HYPERLINK("http://www.eum.go.kr/web/ar/lu/luLandDet.jsp?pnu=3611034041101060000&amp;isNoScr=script&amp;mode=search", "토지이음")</f>
        <v/>
      </c>
      <c r="O604" s="3" t="inlineStr">
        <is>
          <t>세종</t>
        </is>
      </c>
      <c r="P604" s="4" t="n">
        <v>1</v>
      </c>
      <c r="Q604" s="4" t="n">
        <v>1507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33000</v>
      </c>
      <c r="G607" s="4" t="n">
        <v>663</v>
      </c>
      <c r="H607" s="4" t="n">
        <v>201</v>
      </c>
      <c r="I607" s="5" t="n">
        <v>164.2</v>
      </c>
      <c r="J607" s="5" t="n">
        <v>99.09999999999999</v>
      </c>
      <c r="K607" s="3" t="inlineStr">
        <is>
          <t>남세종IC 13분, 유성 반석동 16분 신축 주택 철거후 나대지 급매</t>
        </is>
      </c>
      <c r="L607" s="6">
        <f>HYPERLINK("https://fin.land.naver.com/articles/2652394946",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나침반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106-52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59000</v>
      </c>
      <c r="G608" s="4" t="n">
        <v>1611</v>
      </c>
      <c r="H608" s="4" t="n">
        <v>487</v>
      </c>
      <c r="I608" s="5" t="n">
        <v>121.1</v>
      </c>
      <c r="J608" s="5" t="n">
        <v>96.2</v>
      </c>
      <c r="K608" s="3" t="inlineStr">
        <is>
          <t>nan</t>
        </is>
      </c>
      <c r="L608" s="6">
        <f>HYPERLINK("https://fin.land.naver.com/articles/2652613705", "매물Link")</f>
        <v/>
      </c>
      <c r="M608" s="6">
        <f>HYPERLINK("https://map.naver.com/p/search/금남면 영곡리 106-52", "지도Link")</f>
        <v/>
      </c>
      <c r="N608" s="6">
        <f>HYPERLINK("http://www.eum.go.kr/web/ar/lu/luLandDet.jsp?pnu=3611034041101060052&amp;isNoScr=script&amp;mode=search", "토지이음")</f>
        <v/>
      </c>
      <c r="O608" s="3" t="inlineStr">
        <is>
          <t>세종</t>
        </is>
      </c>
      <c r="P608" s="4" t="n">
        <v>1</v>
      </c>
      <c r="Q608" s="4" t="n">
        <v>1400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완경사</t>
        </is>
      </c>
      <c r="U608" s="3" t="inlineStr">
        <is>
          <t>정방형</t>
        </is>
      </c>
      <c r="V608" s="3" t="inlineStr">
        <is>
          <t>세로한면(가)</t>
        </is>
      </c>
    </row>
    <row r="609">
      <c r="A609" s="3" t="inlineStr">
        <is>
          <t>금남면 영곡리 115-1</t>
        </is>
      </c>
      <c r="B609" s="3" t="inlineStr">
        <is>
          <t>계획관리지역</t>
        </is>
      </c>
      <c r="C609" s="3" t="inlineStr">
        <is>
          <t>과수원</t>
        </is>
      </c>
      <c r="D609" s="3" t="inlineStr">
        <is>
          <t>과수원</t>
        </is>
      </c>
      <c r="E609" s="3" t="inlineStr">
        <is>
          <t>매매</t>
        </is>
      </c>
      <c r="F609" s="4" t="n">
        <v>50000</v>
      </c>
      <c r="G609" s="4" t="n">
        <v>1117</v>
      </c>
      <c r="H609" s="4" t="n">
        <v>338</v>
      </c>
      <c r="I609" s="5" t="n">
        <v>147.9</v>
      </c>
      <c r="J609" s="5" t="n">
        <v>82</v>
      </c>
      <c r="K609" s="3" t="inlineStr">
        <is>
          <t>창고지, 하우스 경작지의 저렴한 매물</t>
        </is>
      </c>
      <c r="L609" s="6">
        <f>HYPERLINK("https://fin.land.naver.com/articles/2651938615", "매물Link")</f>
        <v/>
      </c>
      <c r="M609" s="6">
        <f>HYPERLINK("https://map.naver.com/p/search/금남면 영곡리 115-1", "지도Link")</f>
        <v/>
      </c>
      <c r="N609" s="6">
        <f>HYPERLINK("http://www.eum.go.kr/web/ar/lu/luLandDet.jsp?pnu=3611034041101150001&amp;isNoScr=script&amp;mode=search", "토지이음")</f>
        <v/>
      </c>
      <c r="O609" s="3" t="inlineStr">
        <is>
          <t>용궁</t>
        </is>
      </c>
      <c r="P609" s="4" t="n">
        <v>1</v>
      </c>
      <c r="Q609" s="4" t="n">
        <v>1117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세로한면(가)</t>
        </is>
      </c>
    </row>
    <row r="610">
      <c r="A610" s="3" t="inlineStr">
        <is>
          <t>금남면 영곡리 134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36000</v>
      </c>
      <c r="G610" s="4" t="n">
        <v>744</v>
      </c>
      <c r="H610" s="4" t="n">
        <v>225</v>
      </c>
      <c r="I610" s="5" t="n">
        <v>160</v>
      </c>
      <c r="J610" s="5" t="n">
        <v>75.2</v>
      </c>
      <c r="K610" s="3" t="inlineStr">
        <is>
          <t>도로접,관리지역.</t>
        </is>
      </c>
      <c r="L610" s="6">
        <f>HYPERLINK("https://fin.land.naver.com/articles/2651904980", "매물Link")</f>
        <v/>
      </c>
      <c r="M610" s="6">
        <f>HYPERLINK("https://map.naver.com/p/search/금남면 영곡리 134", "지도Link")</f>
        <v/>
      </c>
      <c r="N610" s="6">
        <f>HYPERLINK("http://www.eum.go.kr/web/ar/lu/luLandDet.jsp?pnu=3611034041101340000&amp;isNoScr=script&amp;mode=search", "토지이음")</f>
        <v/>
      </c>
      <c r="O610" s="3" t="inlineStr">
        <is>
          <t>세미</t>
        </is>
      </c>
      <c r="P610" s="4" t="n">
        <v>1</v>
      </c>
      <c r="Q610" s="4" t="n">
        <v>744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14-3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대</t>
        </is>
      </c>
      <c r="E611" s="3" t="inlineStr">
        <is>
          <t>매매</t>
        </is>
      </c>
      <c r="F611" s="4" t="n">
        <v>980000</v>
      </c>
      <c r="G611" s="4" t="n">
        <v>8114</v>
      </c>
      <c r="H611" s="4" t="n">
        <v>2454</v>
      </c>
      <c r="I611" s="5" t="n">
        <v>399.3</v>
      </c>
      <c r="J611" s="5" t="n">
        <v>118.4</v>
      </c>
      <c r="K611" s="3" t="inlineStr">
        <is>
          <t>세종 도심 접근성 좋은 음식점 건물 포함 대형 상업부지</t>
        </is>
      </c>
      <c r="L611" s="6">
        <f>HYPERLINK("https://fin.land.naver.com/articles/2655049011", "매물Link")</f>
        <v/>
      </c>
      <c r="M611" s="6">
        <f>HYPERLINK("https://map.naver.com/p/search/금남면 영곡리 14-3", "지도Link")</f>
        <v/>
      </c>
      <c r="N611" s="6">
        <f>HYPERLINK("http://www.eum.go.kr/web/ar/lu/luLandDet.jsp?pnu=3611034041100140003&amp;isNoScr=script&amp;mode=search", "토지이음")</f>
        <v/>
      </c>
      <c r="O611" s="3" t="inlineStr">
        <is>
          <t>세종소담황금</t>
        </is>
      </c>
      <c r="P611" s="4" t="n">
        <v>1</v>
      </c>
      <c r="Q611" s="4" t="n">
        <v>1452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220-6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74000</v>
      </c>
      <c r="G612" s="4" t="n">
        <v>1435</v>
      </c>
      <c r="H612" s="4" t="n">
        <v>434</v>
      </c>
      <c r="I612" s="5" t="n">
        <v>170.5</v>
      </c>
      <c r="J612" s="5" t="n">
        <v>80.59999999999999</v>
      </c>
      <c r="K612" s="3" t="inlineStr">
        <is>
          <t>2종근생 제조업소추천, 건폐율 50, 용적률 125,도로 폭 4m</t>
        </is>
      </c>
      <c r="L612" s="6">
        <f>HYPERLINK("https://fin.land.naver.com/articles/2654069984", "매물Link")</f>
        <v/>
      </c>
      <c r="M612" s="6">
        <f>HYPERLINK("https://map.naver.com/p/search/금남면 영곡리 220-6", "지도Link")</f>
        <v/>
      </c>
      <c r="N612" s="6">
        <f>HYPERLINK("http://www.eum.go.kr/web/ar/lu/luLandDet.jsp?pnu=3611034041102200006&amp;isNoScr=script&amp;mode=search", "토지이음")</f>
        <v/>
      </c>
      <c r="O612" s="3" t="inlineStr">
        <is>
          <t>태성</t>
        </is>
      </c>
      <c r="P612" s="4" t="n">
        <v>2</v>
      </c>
      <c r="Q612" s="4" t="n">
        <v>1435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영곡리 250-7</t>
        </is>
      </c>
      <c r="B613" s="3" t="inlineStr">
        <is>
          <t>생산관리지역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30000</v>
      </c>
      <c r="G613" s="4" t="n">
        <v>423</v>
      </c>
      <c r="H613" s="4" t="n">
        <v>128</v>
      </c>
      <c r="I613" s="5" t="n">
        <v>234.4</v>
      </c>
      <c r="J613" s="5" t="n">
        <v>16.9</v>
      </c>
      <c r="K613" s="3" t="inlineStr">
        <is>
          <t>2차선 도로접함.</t>
        </is>
      </c>
      <c r="L613" s="6">
        <f>HYPERLINK("https://fin.land.naver.com/articles/2655934614", "매물Link")</f>
        <v/>
      </c>
      <c r="M613" s="6">
        <f>HYPERLINK("https://map.naver.com/p/search/금남면 영곡리 250-7", "지도Link")</f>
        <v/>
      </c>
      <c r="N613" s="6">
        <f>HYPERLINK("http://www.eum.go.kr/web/ar/lu/luLandDet.jsp?pnu=3611034041102500007&amp;isNoScr=script&amp;mode=search", "토지이음")</f>
        <v/>
      </c>
      <c r="O613" s="3" t="inlineStr">
        <is>
          <t>노블</t>
        </is>
      </c>
      <c r="P613" s="4" t="n">
        <v>2</v>
      </c>
      <c r="Q613" s="4" t="n">
        <v>423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금남면 영곡리 26-4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593200</v>
      </c>
      <c r="G614" s="4" t="n">
        <v>7844</v>
      </c>
      <c r="H614" s="4" t="n">
        <v>2373</v>
      </c>
      <c r="I614" s="5" t="n">
        <v>250</v>
      </c>
      <c r="J614" s="5" t="n">
        <v>118.4</v>
      </c>
      <c r="K614" s="3" t="inlineStr">
        <is>
          <t>nan</t>
        </is>
      </c>
      <c r="L614" s="6">
        <f>HYPERLINK("https://fin.land.naver.com/articles/2655280190", "매물Link")</f>
        <v/>
      </c>
      <c r="M614" s="6">
        <f>HYPERLINK("https://map.naver.com/p/search/금남면 영곡리 26-4", "지도Link")</f>
        <v/>
      </c>
      <c r="N614" s="6">
        <f>HYPERLINK("http://www.eum.go.kr/web/ar/lu/luLandDet.jsp?pnu=3611034041100260004&amp;isNoScr=script&amp;mode=search", "토지이음")</f>
        <v/>
      </c>
      <c r="O614" s="3" t="inlineStr">
        <is>
          <t>세종</t>
        </is>
      </c>
      <c r="P614" s="4" t="n">
        <v>1</v>
      </c>
      <c r="Q614" s="4" t="n">
        <v>463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284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57000</v>
      </c>
      <c r="G615" s="4" t="n">
        <v>201</v>
      </c>
      <c r="H615" s="4" t="n">
        <v>61</v>
      </c>
      <c r="I615" s="5" t="n">
        <v>934.4</v>
      </c>
      <c r="J615" s="5" t="n">
        <v>135.7</v>
      </c>
      <c r="K615" s="3" t="inlineStr">
        <is>
          <t>금남면 근생건축이 가능한 저렴한 대지및 임야</t>
        </is>
      </c>
      <c r="L615" s="6">
        <f>HYPERLINK("https://fin.land.naver.com/articles/2651801251", "매물Link")</f>
        <v/>
      </c>
      <c r="M615" s="6">
        <f>HYPERLINK("https://map.naver.com/p/search/금남면 영곡리 284", "지도Link")</f>
        <v/>
      </c>
      <c r="N615" s="6">
        <f>HYPERLINK("http://www.eum.go.kr/web/ar/lu/luLandDet.jsp?pnu=3611034041102840000&amp;isNoScr=script&amp;mode=search",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201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영곡리 313</t>
        </is>
      </c>
      <c r="B616" s="3" t="inlineStr">
        <is>
          <t>생산관리지역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72000</v>
      </c>
      <c r="G616" s="4" t="n">
        <v>1320</v>
      </c>
      <c r="H616" s="4" t="n">
        <v>399</v>
      </c>
      <c r="I616" s="5" t="n">
        <v>180.5</v>
      </c>
      <c r="J616" s="5" t="n">
        <v>71.3</v>
      </c>
      <c r="K616" s="3" t="inlineStr">
        <is>
          <t>도심인접 가치높은 답</t>
        </is>
      </c>
      <c r="L616" s="6">
        <f>HYPERLINK("https://fin.land.naver.com/articles/2656214393", "매물Link")</f>
        <v/>
      </c>
      <c r="M616" s="6">
        <f>HYPERLINK("https://map.naver.com/p/search/금남면 영곡리 313", "지도Link")</f>
        <v/>
      </c>
      <c r="N616" s="6">
        <f>HYPERLINK("http://www.eum.go.kr/web/ar/lu/luLandDet.jsp?pnu=3611034041103130000&amp;isNoScr=script&amp;mode=search",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3570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도심인접 저렴한 주택용지</t>
        </is>
      </c>
      <c r="L617" s="6">
        <f>HYPERLINK("https://fin.land.naver.com/articles/2653363163",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황소플러스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지목 대,컨테이너2대 있음</t>
        </is>
      </c>
      <c r="L618" s="6">
        <f>HYPERLINK("https://fin.land.naver.com/articles/2655888824",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다산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400-3</t>
        </is>
      </c>
      <c r="B620" s="3" t="inlineStr">
        <is>
          <t>-</t>
        </is>
      </c>
      <c r="C620" s="3" t="inlineStr">
        <is>
          <t>-</t>
        </is>
      </c>
      <c r="D620" s="3" t="inlineStr">
        <is>
          <t>답</t>
        </is>
      </c>
      <c r="E620" s="3" t="inlineStr">
        <is>
          <t>매매</t>
        </is>
      </c>
      <c r="F620" s="4" t="n">
        <v>47600</v>
      </c>
      <c r="G620" s="4" t="n">
        <v>1852</v>
      </c>
      <c r="H620" s="4" t="n">
        <v>560</v>
      </c>
      <c r="I620" s="5" t="n">
        <v>85</v>
      </c>
      <c r="J620" s="5" t="n">
        <v>0</v>
      </c>
      <c r="K620" s="3" t="inlineStr">
        <is>
          <t>행정중심복합도시 최인근하며 금강을 끼고 있는 저렴한 농지</t>
        </is>
      </c>
      <c r="L620" s="6">
        <f>HYPERLINK("https://fin.land.naver.com/articles/2653677245", "매물Link")</f>
        <v/>
      </c>
      <c r="M620" s="6">
        <f>HYPERLINK("https://map.naver.com/p/search/금남면 영곡리 400-3", "지도Link")</f>
        <v/>
      </c>
      <c r="N620" s="6">
        <f>HYPERLINK("http://www.eum.go.kr/web/ar/lu/luLandDet.jsp?pnu=3611034041104000003&amp;isNoScr=script&amp;mode=search", "토지이음")</f>
        <v/>
      </c>
      <c r="O620" s="3" t="inlineStr">
        <is>
          <t>대명</t>
        </is>
      </c>
      <c r="P620" s="4" t="n">
        <v>1</v>
      </c>
      <c r="Q620" s="4" t="n">
        <v>0</v>
      </c>
      <c r="R620" s="3" t="inlineStr">
        <is>
          <t>-</t>
        </is>
      </c>
      <c r="S620" s="3" t="inlineStr">
        <is>
          <t>-</t>
        </is>
      </c>
      <c r="T620" s="3" t="inlineStr">
        <is>
          <t>-</t>
        </is>
      </c>
      <c r="U620" s="3" t="inlineStr">
        <is>
          <t>-</t>
        </is>
      </c>
      <c r="V620" s="3" t="inlineStr">
        <is>
          <t>-</t>
        </is>
      </c>
    </row>
    <row r="621">
      <c r="A621" s="3" t="inlineStr">
        <is>
          <t>금남면 영곡리 404-1</t>
        </is>
      </c>
      <c r="B621" s="3" t="inlineStr">
        <is>
          <t>보전관리지역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180000</v>
      </c>
      <c r="G621" s="4" t="n">
        <v>4077</v>
      </c>
      <c r="H621" s="4" t="n">
        <v>1233</v>
      </c>
      <c r="I621" s="5" t="n">
        <v>146</v>
      </c>
      <c r="J621" s="5" t="n">
        <v>55.8</v>
      </c>
      <c r="K621" s="3" t="inlineStr">
        <is>
          <t>미래 투자 가지 가성비 좋음</t>
        </is>
      </c>
      <c r="L621" s="6">
        <f>HYPERLINK("https://fin.land.naver.com/articles/2655411361", "매물Link")</f>
        <v/>
      </c>
      <c r="M621" s="6">
        <f>HYPERLINK("https://map.naver.com/p/search/금남면 영곡리 404-1", "지도Link")</f>
        <v/>
      </c>
      <c r="N621" s="6">
        <f>HYPERLINK("http://www.eum.go.kr/web/ar/lu/luLandDet.jsp?pnu=3611034041104040001&amp;isNoScr=script&amp;mode=search", "토지이음")</f>
        <v/>
      </c>
      <c r="O621" s="3" t="inlineStr">
        <is>
          <t>광교테라스힐</t>
        </is>
      </c>
      <c r="P621" s="4" t="n">
        <v>1</v>
      </c>
      <c r="Q621" s="4" t="n">
        <v>4077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507-2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74520</v>
      </c>
      <c r="G622" s="4" t="n">
        <v>1369</v>
      </c>
      <c r="H622" s="4" t="n">
        <v>414</v>
      </c>
      <c r="I622" s="5" t="n">
        <v>180</v>
      </c>
      <c r="J622" s="5" t="n">
        <v>80.59999999999999</v>
      </c>
      <c r="K622" s="3" t="inlineStr">
        <is>
          <t>nan</t>
        </is>
      </c>
      <c r="L622" s="6">
        <f>HYPERLINK("https://fin.land.naver.com/articles/2653825626", "매물Link")</f>
        <v/>
      </c>
      <c r="M622" s="6">
        <f>HYPERLINK("https://map.naver.com/p/search/금남면 영곡리 507-2", "지도Link")</f>
        <v/>
      </c>
      <c r="N622" s="6">
        <f>HYPERLINK("http://www.eum.go.kr/web/ar/lu/luLandDet.jsp?pnu=3611034041105070002&amp;isNoScr=script&amp;mode=search",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1369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영곡리 549-2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88650</v>
      </c>
      <c r="G623" s="4" t="n">
        <v>1954</v>
      </c>
      <c r="H623" s="4" t="n">
        <v>591</v>
      </c>
      <c r="I623" s="5" t="n">
        <v>150</v>
      </c>
      <c r="J623" s="5" t="n">
        <v>58</v>
      </c>
      <c r="K623" s="3" t="inlineStr">
        <is>
          <t>생산관리지역 2필지, 현황상 도로에 접함, 세종시내 접근, 활용도 좋은</t>
        </is>
      </c>
      <c r="L623" s="6">
        <f>HYPERLINK("https://fin.land.naver.com/articles/2652830043", "매물Link")</f>
        <v/>
      </c>
      <c r="M623" s="6">
        <f>HYPERLINK("https://map.naver.com/p/search/금남면 영곡리 549-2", "지도Link")</f>
        <v/>
      </c>
      <c r="N623" s="6">
        <f>HYPERLINK("http://www.eum.go.kr/web/ar/lu/luLandDet.jsp?pnu=3611034041105490002&amp;isNoScr=script&amp;mode=search", "토지이음")</f>
        <v/>
      </c>
      <c r="O623" s="3" t="inlineStr">
        <is>
          <t>우민</t>
        </is>
      </c>
      <c r="P623" s="4" t="n">
        <v>1</v>
      </c>
      <c r="Q623" s="4" t="n">
        <v>1137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영곡리 560-3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19000</v>
      </c>
      <c r="G624" s="4" t="n">
        <v>772</v>
      </c>
      <c r="H624" s="4" t="n">
        <v>234</v>
      </c>
      <c r="I624" s="5" t="n">
        <v>81.2</v>
      </c>
      <c r="J624" s="5" t="n">
        <v>47.8</v>
      </c>
      <c r="K624" s="3" t="inlineStr">
        <is>
          <t>영곡리 소형상가건물 있는 임야매매</t>
        </is>
      </c>
      <c r="L624" s="6">
        <f>HYPERLINK("https://fin.land.naver.com/articles/2655173188", "매물Link")</f>
        <v/>
      </c>
      <c r="M624" s="6">
        <f>HYPERLINK("https://map.naver.com/p/search/금남면 영곡리 560-3", "지도Link")</f>
        <v/>
      </c>
      <c r="N624" s="6">
        <f>HYPERLINK("http://www.eum.go.kr/web/ar/lu/luLandDet.jsp?pnu=3611034041105600003&amp;isNoScr=script&amp;mode=search", "토지이음")</f>
        <v/>
      </c>
      <c r="O624" s="3" t="inlineStr">
        <is>
          <t>에이스</t>
        </is>
      </c>
      <c r="P624" s="4" t="n">
        <v>1</v>
      </c>
      <c r="Q624" s="4" t="n">
        <v>250</v>
      </c>
      <c r="R624" s="3" t="inlineStr">
        <is>
          <t>지정되지않음</t>
        </is>
      </c>
      <c r="S624" s="3" t="inlineStr">
        <is>
          <t>전기타</t>
        </is>
      </c>
      <c r="T624" s="3" t="inlineStr">
        <is>
          <t>급경사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영곡리 578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79000</v>
      </c>
      <c r="G625" s="4" t="n">
        <v>744</v>
      </c>
      <c r="H625" s="4" t="n">
        <v>225</v>
      </c>
      <c r="I625" s="5" t="n">
        <v>351.1</v>
      </c>
      <c r="J625" s="5" t="n">
        <v>128</v>
      </c>
      <c r="K625" s="3" t="inlineStr">
        <is>
          <t>영곡리 자연취락지구 대지</t>
        </is>
      </c>
      <c r="L625" s="6">
        <f>HYPERLINK("https://fin.land.naver.com/articles/2654704421", "매물Link")</f>
        <v/>
      </c>
      <c r="M625" s="6">
        <f>HYPERLINK("https://map.naver.com/p/search/금남면 영곡리 578", "지도Link")</f>
        <v/>
      </c>
      <c r="N625" s="6">
        <f>HYPERLINK("http://www.eum.go.kr/web/ar/lu/luLandDet.jsp?pnu=3611034041105780000&amp;isNoScr=script&amp;mode=search", "토지이음")</f>
        <v/>
      </c>
      <c r="O625" s="3" t="inlineStr">
        <is>
          <t>세종천지</t>
        </is>
      </c>
      <c r="P625" s="4" t="n">
        <v>1</v>
      </c>
      <c r="Q625" s="4" t="n">
        <v>744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세로각지(가)</t>
        </is>
      </c>
    </row>
    <row r="626">
      <c r="A626" s="3" t="inlineStr">
        <is>
          <t>금남면 영곡리 587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55500</v>
      </c>
      <c r="G626" s="4" t="n">
        <v>490</v>
      </c>
      <c r="H626" s="4" t="n">
        <v>148</v>
      </c>
      <c r="I626" s="5" t="n">
        <v>375</v>
      </c>
      <c r="J626" s="5" t="n">
        <v>125.7</v>
      </c>
      <c r="K626" s="3" t="inlineStr">
        <is>
          <t>급매,바로 옆 추가포함,집터</t>
        </is>
      </c>
      <c r="L626" s="6">
        <f>HYPERLINK("https://fin.land.naver.com/articles/2655886119", "매물Link")</f>
        <v/>
      </c>
      <c r="M626" s="6">
        <f>HYPERLINK("https://map.naver.com/p/search/금남면 영곡리 587", "지도Link")</f>
        <v/>
      </c>
      <c r="N626" s="6">
        <f>HYPERLINK("http://www.eum.go.kr/web/ar/lu/luLandDet.jsp?pnu=3611034041105870000&amp;isNoScr=script&amp;mode=search", "토지이음")</f>
        <v/>
      </c>
      <c r="O626" s="3" t="inlineStr">
        <is>
          <t>다산</t>
        </is>
      </c>
      <c r="P626" s="4" t="n">
        <v>1</v>
      </c>
      <c r="Q626" s="4" t="n">
        <v>490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70-2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130000</v>
      </c>
      <c r="G627" s="4" t="n">
        <v>1544</v>
      </c>
      <c r="H627" s="4" t="n">
        <v>467</v>
      </c>
      <c r="I627" s="5" t="n">
        <v>278.4</v>
      </c>
      <c r="J627" s="5" t="n">
        <v>116.7</v>
      </c>
      <c r="K627" s="3" t="inlineStr">
        <is>
          <t>계획관리지역으로 용도다양,주변택지개벌등으로 지가상승기대</t>
        </is>
      </c>
      <c r="L627" s="6">
        <f>HYPERLINK("https://fin.land.naver.com/articles/2651145031", "매물Link")</f>
        <v/>
      </c>
      <c r="M627" s="6">
        <f>HYPERLINK("https://map.naver.com/p/search/금남면 영곡리 70-2", "지도Link")</f>
        <v/>
      </c>
      <c r="N627" s="6">
        <f>HYPERLINK("http://www.eum.go.kr/web/ar/lu/luLandDet.jsp?pnu=3611034041100700002&amp;isNoScr=script&amp;mode=search", "토지이음")</f>
        <v/>
      </c>
      <c r="O627" s="3" t="inlineStr">
        <is>
          <t>뉴장원</t>
        </is>
      </c>
      <c r="P627" s="4" t="n">
        <v>1</v>
      </c>
      <c r="Q627" s="4" t="n">
        <v>1544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금남면 영곡리 산10-5</t>
        </is>
      </c>
      <c r="B628" s="3" t="inlineStr">
        <is>
          <t>농림지역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240000</v>
      </c>
      <c r="G628" s="4" t="n">
        <v>79473</v>
      </c>
      <c r="H628" s="4" t="n">
        <v>24041</v>
      </c>
      <c r="I628" s="5" t="n">
        <v>10</v>
      </c>
      <c r="J628" s="5" t="n">
        <v>2.2</v>
      </c>
      <c r="K628" s="3" t="inlineStr">
        <is>
          <t>매매가 조율가능</t>
        </is>
      </c>
      <c r="L628" s="6">
        <f>HYPERLINK("https://fin.land.naver.com/articles/2652082829", "매물Link")</f>
        <v/>
      </c>
      <c r="M628" s="6">
        <f>HYPERLINK("https://map.naver.com/p/search/금남면 영곡리 산10-5", "지도Link")</f>
        <v/>
      </c>
      <c r="N628" s="6">
        <f>HYPERLINK("http://www.eum.go.kr/web/ar/lu/luLandDet.jsp?pnu=3611034041200100005&amp;isNoScr=script&amp;mode=search", "토지이음")</f>
        <v/>
      </c>
      <c r="O628" s="3" t="inlineStr">
        <is>
          <t>해들마루</t>
        </is>
      </c>
      <c r="P628" s="4" t="n">
        <v>1</v>
      </c>
      <c r="Q628" s="4" t="n">
        <v>79473</v>
      </c>
      <c r="R628" s="3" t="inlineStr">
        <is>
          <t>보전관리지역</t>
        </is>
      </c>
      <c r="S628" s="3" t="inlineStr">
        <is>
          <t>자연림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세로한면(불)</t>
        </is>
      </c>
    </row>
    <row r="629">
      <c r="A629" s="3" t="inlineStr">
        <is>
          <t>금남면 영대리 188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답</t>
        </is>
      </c>
      <c r="E629" s="3" t="inlineStr">
        <is>
          <t>매매</t>
        </is>
      </c>
      <c r="F629" s="4" t="n">
        <v>65000</v>
      </c>
      <c r="G629" s="4" t="n">
        <v>2472</v>
      </c>
      <c r="H629" s="4" t="n">
        <v>748</v>
      </c>
      <c r="I629" s="5" t="n">
        <v>86.90000000000001</v>
      </c>
      <c r="J629" s="5" t="n">
        <v>49.1</v>
      </c>
      <c r="K629" s="3" t="inlineStr">
        <is>
          <t>급매, 2차선 도로에 접해있어 투자가치가 좋은 그린벨트 투자용 토지</t>
        </is>
      </c>
      <c r="L629" s="6">
        <f>HYPERLINK("https://fin.land.naver.com/articles/2651478945", "매물Link")</f>
        <v/>
      </c>
      <c r="M629" s="6">
        <f>HYPERLINK("https://map.naver.com/p/search/금남면 영대리 188", "지도Link")</f>
        <v/>
      </c>
      <c r="N629" s="6">
        <f>HYPERLINK("http://www.eum.go.kr/web/ar/lu/luLandDet.jsp?pnu=3611034031101880000&amp;isNoScr=script&amp;mode=search",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2472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영대리 25-2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616</v>
      </c>
      <c r="H630" s="4" t="n">
        <v>186</v>
      </c>
      <c r="I630" s="5" t="n">
        <v>64.5</v>
      </c>
      <c r="J630" s="5" t="n">
        <v>27.2</v>
      </c>
      <c r="K630" s="3" t="inlineStr">
        <is>
          <t>세종시 개발제한구역내 장기투자용</t>
        </is>
      </c>
      <c r="L630" s="6">
        <f>HYPERLINK("https://fin.land.naver.com/articles/2655435530", "매물Link")</f>
        <v/>
      </c>
      <c r="M630" s="6">
        <f>HYPERLINK("https://map.naver.com/p/search/금남면 영대리 25-2", "지도Link")</f>
        <v/>
      </c>
      <c r="N630" s="6">
        <f>HYPERLINK("http://www.eum.go.kr/web/ar/lu/luLandDet.jsp?pnu=3611034031100250002&amp;isNoScr=script&amp;mode=search", "토지이음")</f>
        <v/>
      </c>
      <c r="O630" s="3" t="inlineStr">
        <is>
          <t>다모아</t>
        </is>
      </c>
      <c r="P630" s="4" t="n">
        <v>1</v>
      </c>
      <c r="Q630" s="4" t="n">
        <v>616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맹지</t>
        </is>
      </c>
    </row>
    <row r="631">
      <c r="A631" s="3" t="inlineStr">
        <is>
          <t>금남면 영대리 296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47500</v>
      </c>
      <c r="G631" s="4" t="n">
        <v>1650</v>
      </c>
      <c r="H631" s="4" t="n">
        <v>499</v>
      </c>
      <c r="I631" s="5" t="n">
        <v>95.2</v>
      </c>
      <c r="J631" s="5" t="n">
        <v>35.3</v>
      </c>
      <c r="K631" s="3" t="inlineStr">
        <is>
          <t>1종 주거지역에 접한 토지, 소로3류에 접함</t>
        </is>
      </c>
      <c r="L631" s="6">
        <f>HYPERLINK("https://fin.land.naver.com/articles/2655663751", "매물Link")</f>
        <v/>
      </c>
      <c r="M631" s="6">
        <f>HYPERLINK("https://map.naver.com/p/search/금남면 영대리 296", "지도Link")</f>
        <v/>
      </c>
      <c r="N631" s="6">
        <f>HYPERLINK("http://www.eum.go.kr/web/ar/lu/luLandDet.jsp?pnu=3611034031102960000&amp;isNoScr=script&amp;mode=search", "토지이음")</f>
        <v/>
      </c>
      <c r="O631" s="3" t="inlineStr">
        <is>
          <t>세종어울림</t>
        </is>
      </c>
      <c r="P631" s="4" t="n">
        <v>1</v>
      </c>
      <c r="Q631" s="4" t="n">
        <v>1650</v>
      </c>
      <c r="R631" s="3" t="inlineStr">
        <is>
          <t>제1종일반주거지역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315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1996</v>
      </c>
      <c r="H632" s="4" t="n">
        <v>604</v>
      </c>
      <c r="I632" s="5" t="n">
        <v>99.3</v>
      </c>
      <c r="J632" s="5" t="n">
        <v>34.6</v>
      </c>
      <c r="K632" s="3" t="inlineStr">
        <is>
          <t>금남면 영대리에 있는 개발제한구역의 토지로서 향후 지가상승이 기대되는 곳</t>
        </is>
      </c>
      <c r="L632" s="6">
        <f>HYPERLINK("https://fin.land.naver.com/articles/2653441168", "매물Link")</f>
        <v/>
      </c>
      <c r="M632" s="6">
        <f>HYPERLINK("https://map.naver.com/p/search/금남면 영대리 315", "지도Link")</f>
        <v/>
      </c>
      <c r="N632" s="6">
        <f>HYPERLINK("http://www.eum.go.kr/web/ar/lu/luLandDet.jsp?pnu=3611034031103150000&amp;isNoScr=script&amp;mode=search", "토지이음")</f>
        <v/>
      </c>
      <c r="O632" s="3" t="inlineStr">
        <is>
          <t>스마일세종</t>
        </is>
      </c>
      <c r="P632" s="4" t="n">
        <v>1</v>
      </c>
      <c r="Q632" s="4" t="n">
        <v>1996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368</t>
        </is>
      </c>
      <c r="B633" s="3" t="inlineStr">
        <is>
          <t>자연녹지지역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67000</v>
      </c>
      <c r="G633" s="4" t="n">
        <v>641</v>
      </c>
      <c r="H633" s="4" t="n">
        <v>194</v>
      </c>
      <c r="I633" s="5" t="n">
        <v>345.4</v>
      </c>
      <c r="J633" s="5" t="n">
        <v>115.7</v>
      </c>
      <c r="K633" s="3" t="inlineStr">
        <is>
          <t>O더끌림O 개발 호재 인근 토지 매매, 투자 가치 높은 매물</t>
        </is>
      </c>
      <c r="L633" s="6">
        <f>HYPERLINK("https://fin.land.naver.com/articles/2654815668", "매물Link")</f>
        <v/>
      </c>
      <c r="M633" s="6">
        <f>HYPERLINK("https://map.naver.com/p/search/금남면 영대리 368", "지도Link")</f>
        <v/>
      </c>
      <c r="N633" s="6">
        <f>HYPERLINK("http://www.eum.go.kr/web/ar/lu/luLandDet.jsp?pnu=3611034031103680000&amp;isNoScr=script&amp;mode=search", "토지이음")</f>
        <v/>
      </c>
      <c r="O633" s="3" t="inlineStr">
        <is>
          <t>더끌림</t>
        </is>
      </c>
      <c r="P633" s="4" t="n">
        <v>1</v>
      </c>
      <c r="Q633" s="4" t="n">
        <v>641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373</t>
        </is>
      </c>
      <c r="B634" s="3" t="inlineStr">
        <is>
          <t>자연녹지지역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32400</v>
      </c>
      <c r="G634" s="4" t="n">
        <v>714</v>
      </c>
      <c r="H634" s="4" t="n">
        <v>216</v>
      </c>
      <c r="I634" s="5" t="n">
        <v>150</v>
      </c>
      <c r="J634" s="5" t="n">
        <v>86.3</v>
      </c>
      <c r="K634" s="3" t="inlineStr">
        <is>
          <t>세종시 도시지역 내 취락지구 토지 매매.가격조정 협의</t>
        </is>
      </c>
      <c r="L634" s="6">
        <f>HYPERLINK("https://fin.land.naver.com/articles/2652374975", "매물Link")</f>
        <v/>
      </c>
      <c r="M634" s="6">
        <f>HYPERLINK("https://map.naver.com/p/search/금남면 영대리 373", "지도Link")</f>
        <v/>
      </c>
      <c r="N634" s="6">
        <f>HYPERLINK("http://www.eum.go.kr/web/ar/lu/luLandDet.jsp?pnu=3611034031103730000&amp;isNoScr=script&amp;mode=search",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714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406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30510</v>
      </c>
      <c r="G635" s="4" t="n">
        <v>3362</v>
      </c>
      <c r="H635" s="4" t="n">
        <v>1017</v>
      </c>
      <c r="I635" s="5" t="n">
        <v>30</v>
      </c>
      <c r="J635" s="5" t="n">
        <v>21.8</v>
      </c>
      <c r="K635" s="3" t="inlineStr">
        <is>
          <t>세종시 사놓으면 돈 되는 땅. 맹지아님,가격조정 협의</t>
        </is>
      </c>
      <c r="L635" s="6">
        <f>HYPERLINK("https://fin.land.naver.com/articles/2652361662", "매물Link")</f>
        <v/>
      </c>
      <c r="M635" s="6">
        <f>HYPERLINK("https://map.naver.com/p/search/금남면 영대리 406", "지도Link")</f>
        <v/>
      </c>
      <c r="N635" s="6">
        <f>HYPERLINK("http://www.eum.go.kr/web/ar/lu/luLandDet.jsp?pnu=3611034031104060000&amp;isNoScr=script&amp;mode=search", "토지이음")</f>
        <v/>
      </c>
      <c r="O635" s="3" t="inlineStr">
        <is>
          <t>유성대박</t>
        </is>
      </c>
      <c r="P635" s="4" t="n">
        <v>1</v>
      </c>
      <c r="Q635" s="4" t="n">
        <v>3362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영대리 436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13500</v>
      </c>
      <c r="G636" s="4" t="n">
        <v>1488</v>
      </c>
      <c r="H636" s="4" t="n">
        <v>450</v>
      </c>
      <c r="I636" s="5" t="n">
        <v>30</v>
      </c>
      <c r="J636" s="5" t="n">
        <v>15.3</v>
      </c>
      <c r="K636" s="3" t="inlineStr">
        <is>
          <t>OK  자연녹지, 개발제한구역. 현황도로있음</t>
        </is>
      </c>
      <c r="L636" s="6">
        <f>HYPERLINK("https://fin.land.naver.com/articles/2651929514", "매물Link")</f>
        <v/>
      </c>
      <c r="M636" s="6">
        <f>HYPERLINK("https://map.naver.com/p/search/금남면 영대리 436", "지도Link")</f>
        <v/>
      </c>
      <c r="N636" s="6">
        <f>HYPERLINK("http://www.eum.go.kr/web/ar/lu/luLandDet.jsp?pnu=3611034031104360000&amp;isNoScr=script&amp;mode=search", "토지이음")</f>
        <v/>
      </c>
      <c r="O636" s="3" t="inlineStr">
        <is>
          <t>OK</t>
        </is>
      </c>
      <c r="P636" s="4" t="n">
        <v>1</v>
      </c>
      <c r="Q636" s="4" t="n">
        <v>1488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급경사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456-6</t>
        </is>
      </c>
      <c r="B637" s="3" t="inlineStr">
        <is>
          <t>개발제한구역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13000</v>
      </c>
      <c r="G637" s="4" t="n">
        <v>1235</v>
      </c>
      <c r="H637" s="4" t="n">
        <v>374</v>
      </c>
      <c r="I637" s="5" t="n">
        <v>34.8</v>
      </c>
      <c r="J637" s="5" t="n">
        <v>28</v>
      </c>
      <c r="K637" s="3" t="inlineStr">
        <is>
          <t>세계로 대토추천급매 도로접 집단취락지구 전입니다.</t>
        </is>
      </c>
      <c r="L637" s="6">
        <f>HYPERLINK("https://fin.land.naver.com/articles/2654963705", "매물Link")</f>
        <v/>
      </c>
      <c r="M637" s="6">
        <f>HYPERLINK("https://map.naver.com/p/search/금남면 영대리 456-6", "지도Link")</f>
        <v/>
      </c>
      <c r="N637" s="6">
        <f>HYPERLINK("http://www.eum.go.kr/web/ar/lu/luLandDet.jsp?pnu=3611034031104560006&amp;isNoScr=script&amp;mode=search", "토지이음")</f>
        <v/>
      </c>
      <c r="O637" s="3" t="inlineStr">
        <is>
          <t>세계로</t>
        </is>
      </c>
      <c r="P637" s="4" t="n">
        <v>1</v>
      </c>
      <c r="Q637" s="4" t="n">
        <v>1235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산120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97000</v>
      </c>
      <c r="G648" s="4" t="n">
        <v>31945</v>
      </c>
      <c r="H648" s="4" t="n">
        <v>9663</v>
      </c>
      <c r="I648" s="5" t="n">
        <v>10</v>
      </c>
      <c r="J648" s="5" t="n">
        <v>2.8</v>
      </c>
      <c r="K648" s="3" t="inlineStr">
        <is>
          <t>세종시행복도시원내 인접 세종시청 차량7분 미래가치 충분한 투자처로 최고</t>
        </is>
      </c>
      <c r="L648" s="6">
        <f>HYPERLINK("https://fin.land.naver.com/articles/2655113161", "매물Link")</f>
        <v/>
      </c>
      <c r="M648" s="6">
        <f>HYPERLINK("https://map.naver.com/p/search/금남면 영대리 산120", "지도Link")</f>
        <v/>
      </c>
      <c r="N648" s="6">
        <f>HYPERLINK("http://www.eum.go.kr/web/ar/lu/luLandDet.jsp?pnu=3611034031201200000&amp;isNoScr=script&amp;mode=search", "토지이음")</f>
        <v/>
      </c>
      <c r="O648" s="3" t="inlineStr">
        <is>
          <t>뉴엘리트탑</t>
        </is>
      </c>
      <c r="P648" s="4" t="n">
        <v>1</v>
      </c>
      <c r="Q648" s="4" t="n">
        <v>31945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산15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300000</v>
      </c>
      <c r="G649" s="4" t="n">
        <v>73388</v>
      </c>
      <c r="H649" s="4" t="n">
        <v>22200</v>
      </c>
      <c r="I649" s="5" t="n">
        <v>13.5</v>
      </c>
      <c r="J649" s="5" t="n">
        <v>3.2</v>
      </c>
      <c r="K649" s="3" t="inlineStr">
        <is>
          <t>도로에 접한 저렴한 임야,농장 하실분 적극추천</t>
        </is>
      </c>
      <c r="L649" s="6">
        <f>HYPERLINK("https://fin.land.naver.com/articles/2653453884", "매물Link")</f>
        <v/>
      </c>
      <c r="M649" s="6">
        <f>HYPERLINK("https://map.naver.com/p/search/금남면 영대리 산15", "지도Link")</f>
        <v/>
      </c>
      <c r="N649" s="6">
        <f>HYPERLINK("http://www.eum.go.kr/web/ar/lu/luLandDet.jsp?pnu=3611034031200150000&amp;isNoScr=script&amp;mode=search", "토지이음")</f>
        <v/>
      </c>
      <c r="O649" s="3" t="inlineStr">
        <is>
          <t>보람뜰</t>
        </is>
      </c>
      <c r="P649" s="4" t="n">
        <v>1</v>
      </c>
      <c r="Q649" s="4" t="n">
        <v>73388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산48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27540</v>
      </c>
      <c r="G650" s="4" t="n">
        <v>20347</v>
      </c>
      <c r="H650" s="4" t="n">
        <v>6155</v>
      </c>
      <c r="I650" s="5" t="n">
        <v>4.5</v>
      </c>
      <c r="J650" s="5" t="n">
        <v>2.7</v>
      </c>
      <c r="K650" s="3" t="inlineStr">
        <is>
          <t>세종시 귀한 얕은 임야, 사두면 돈 되는 땅,가격조정 협의</t>
        </is>
      </c>
      <c r="L650" s="6">
        <f>HYPERLINK("https://fin.land.naver.com/articles/2652361778", "매물Link")</f>
        <v/>
      </c>
      <c r="M650" s="6">
        <f>HYPERLINK("https://map.naver.com/p/search/금남면 영대리 산48", "지도Link")</f>
        <v/>
      </c>
      <c r="N650" s="6">
        <f>HYPERLINK("http://www.eum.go.kr/web/ar/lu/luLandDet.jsp?pnu=3611034031200480000&amp;isNoScr=script&amp;mode=search",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30347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산72-2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180000</v>
      </c>
      <c r="G651" s="4" t="n">
        <v>132485</v>
      </c>
      <c r="H651" s="4" t="n">
        <v>40077</v>
      </c>
      <c r="I651" s="5" t="n">
        <v>4.5</v>
      </c>
      <c r="J651" s="5" t="n">
        <v>2.8</v>
      </c>
      <c r="K651" s="3" t="inlineStr">
        <is>
          <t>nan</t>
        </is>
      </c>
      <c r="L651" s="6">
        <f>HYPERLINK("https://fin.land.naver.com/articles/2651910430", "매물Link")</f>
        <v/>
      </c>
      <c r="M651" s="6">
        <f>HYPERLINK("https://map.naver.com/p/search/금남면 영대리 산72-2", "지도Link")</f>
        <v/>
      </c>
      <c r="N651" s="6">
        <f>HYPERLINK("http://www.eum.go.kr/web/ar/lu/luLandDet.jsp?pnu=3611034031200720002&amp;isNoScr=script&amp;mode=search", "토지이음")</f>
        <v/>
      </c>
      <c r="O651" s="3" t="inlineStr">
        <is>
          <t>다온</t>
        </is>
      </c>
      <c r="P651" s="4" t="n">
        <v>1</v>
      </c>
      <c r="Q651" s="4" t="n">
        <v>128993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60000</v>
      </c>
      <c r="G652" s="4" t="n">
        <v>19900</v>
      </c>
      <c r="H652" s="4" t="n">
        <v>6020</v>
      </c>
      <c r="I652" s="5" t="n">
        <v>10</v>
      </c>
      <c r="J652" s="5" t="n">
        <v>4.3</v>
      </c>
      <c r="K652" s="3" t="inlineStr">
        <is>
          <t>임야1필지와 전3필지로 구성된 개발제한구역내 토지,투자가치좋아요</t>
        </is>
      </c>
      <c r="L652" s="6">
        <f>HYPERLINK("https://fin.land.naver.com/articles/2656195002",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부자마을</t>
        </is>
      </c>
      <c r="P652" s="4" t="n">
        <v>2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영치리 181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23000</v>
      </c>
      <c r="G653" s="4" t="n">
        <v>496</v>
      </c>
      <c r="H653" s="4" t="n">
        <v>150</v>
      </c>
      <c r="I653" s="5" t="n">
        <v>153.3</v>
      </c>
      <c r="J653" s="5" t="n">
        <v>37.8</v>
      </c>
      <c r="K653" s="3" t="inlineStr">
        <is>
          <t>3생활권 인근  금싸라기 땅.</t>
        </is>
      </c>
      <c r="L653" s="6">
        <f>HYPERLINK("https://fin.land.naver.com/articles/2652734959", "매물Link")</f>
        <v/>
      </c>
      <c r="M653" s="6">
        <f>HYPERLINK("https://map.naver.com/p/search/금남면 영치리 181", "지도Link")</f>
        <v/>
      </c>
      <c r="N653" s="6">
        <f>HYPERLINK("http://www.eum.go.kr/web/ar/lu/luLandDet.jsp?pnu=3611034028101810000&amp;isNoScr=script&amp;mode=search", "토지이음")</f>
        <v/>
      </c>
      <c r="O653" s="3" t="inlineStr">
        <is>
          <t>강남뜰</t>
        </is>
      </c>
      <c r="P653" s="4" t="n">
        <v>1</v>
      </c>
      <c r="Q653" s="4" t="n">
        <v>496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금남면 영치리 225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전</t>
        </is>
      </c>
      <c r="E654" s="3" t="inlineStr">
        <is>
          <t>매매</t>
        </is>
      </c>
      <c r="F654" s="4" t="n">
        <v>12000</v>
      </c>
      <c r="G654" s="4" t="n">
        <v>2337</v>
      </c>
      <c r="H654" s="4" t="n">
        <v>707</v>
      </c>
      <c r="I654" s="5" t="n">
        <v>17</v>
      </c>
      <c r="J654" s="5" t="n">
        <v>15.3</v>
      </c>
      <c r="K654" s="3" t="inlineStr">
        <is>
          <t>중,장기 단순 투자 매물</t>
        </is>
      </c>
      <c r="L654" s="6">
        <f>HYPERLINK("https://fin.land.naver.com/articles/2653836013", "매물Link")</f>
        <v/>
      </c>
      <c r="M654" s="6">
        <f>HYPERLINK("https://map.naver.com/p/search/금남면 영치리 225", "지도Link")</f>
        <v/>
      </c>
      <c r="N654" s="6">
        <f>HYPERLINK("http://www.eum.go.kr/web/ar/lu/luLandDet.jsp?pnu=3611034028102250000&amp;isNoScr=script&amp;mode=search", "토지이음")</f>
        <v/>
      </c>
      <c r="O654" s="3" t="inlineStr">
        <is>
          <t>극동</t>
        </is>
      </c>
      <c r="P654" s="4" t="n">
        <v>1</v>
      </c>
      <c r="Q654" s="4" t="n">
        <v>1187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급경사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영치리 23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15000</v>
      </c>
      <c r="G655" s="4" t="n">
        <v>1722</v>
      </c>
      <c r="H655" s="4" t="n">
        <v>521</v>
      </c>
      <c r="I655" s="5" t="n">
        <v>28.8</v>
      </c>
      <c r="J655" s="5" t="n">
        <v>26.7</v>
      </c>
      <c r="K655" s="3" t="inlineStr">
        <is>
          <t>컨테이너 및 관정 설치,휀스 설치</t>
        </is>
      </c>
      <c r="L655" s="6">
        <f>HYPERLINK("https://fin.land.naver.com/articles/2656205342", "매물Link")</f>
        <v/>
      </c>
      <c r="M655" s="6">
        <f>HYPERLINK("https://map.naver.com/p/search/금남면 영치리 23", "지도Link")</f>
        <v/>
      </c>
      <c r="N655" s="6">
        <f>HYPERLINK("http://www.eum.go.kr/web/ar/lu/luLandDet.jsp?pnu=3611034028100230000&amp;isNoScr=script&amp;mode=search", "토지이음")</f>
        <v/>
      </c>
      <c r="O655" s="3" t="inlineStr">
        <is>
          <t>신안</t>
        </is>
      </c>
      <c r="P655" s="4" t="n">
        <v>2</v>
      </c>
      <c r="Q655" s="4" t="n">
        <v>1722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273</t>
        </is>
      </c>
      <c r="B656" s="3" t="inlineStr">
        <is>
          <t>자연녹지지역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1196</v>
      </c>
      <c r="H656" s="4" t="n">
        <v>362</v>
      </c>
      <c r="I656" s="5" t="n">
        <v>221</v>
      </c>
      <c r="J656" s="5" t="n">
        <v>110.6</v>
      </c>
      <c r="K656" s="3" t="inlineStr">
        <is>
          <t>nan</t>
        </is>
      </c>
      <c r="L656" s="6">
        <f>HYPERLINK("https://fin.land.naver.com/articles/2653455656", "매물Link")</f>
        <v/>
      </c>
      <c r="M656" s="6">
        <f>HYPERLINK("https://map.naver.com/p/search/금남면 영치리 273", "지도Link")</f>
        <v/>
      </c>
      <c r="N656" s="6">
        <f>HYPERLINK("http://www.eum.go.kr/web/ar/lu/luLandDet.jsp?pnu=3611034028102730000&amp;isNoScr=script&amp;mode=search", "토지이음")</f>
        <v/>
      </c>
      <c r="O656" s="3" t="inlineStr">
        <is>
          <t>다온</t>
        </is>
      </c>
      <c r="P656" s="4" t="n">
        <v>1</v>
      </c>
      <c r="Q656" s="4" t="n">
        <v>411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301</t>
        </is>
      </c>
      <c r="B657" s="3" t="inlineStr">
        <is>
          <t>개발제한구역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45600</v>
      </c>
      <c r="G657" s="4" t="n">
        <v>1006</v>
      </c>
      <c r="H657" s="4" t="n">
        <v>304</v>
      </c>
      <c r="I657" s="5" t="n">
        <v>150</v>
      </c>
      <c r="J657" s="5" t="n">
        <v>34.8</v>
      </c>
      <c r="K657" s="3" t="inlineStr">
        <is>
          <t>2차선포장도로접.세종신도시및대전인근.주말농장적합.장기적투자.농지연금활용</t>
        </is>
      </c>
      <c r="L657" s="6">
        <f>HYPERLINK("https://fin.land.naver.com/articles/2656188180", "매물Link")</f>
        <v/>
      </c>
      <c r="M657" s="6">
        <f>HYPERLINK("https://map.naver.com/p/search/금남면 영치리 301", "지도Link")</f>
        <v/>
      </c>
      <c r="N657" s="6">
        <f>HYPERLINK("http://www.eum.go.kr/web/ar/lu/luLandDet.jsp?pnu=3611034028103010000&amp;isNoScr=script&amp;mode=search", "토지이음")</f>
        <v/>
      </c>
      <c r="O657" s="3" t="inlineStr">
        <is>
          <t>돈방석</t>
        </is>
      </c>
      <c r="P657" s="4" t="n">
        <v>1</v>
      </c>
      <c r="Q657" s="4" t="n">
        <v>1006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영치리 306-1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40000</v>
      </c>
      <c r="G658" s="4" t="n">
        <v>2007</v>
      </c>
      <c r="H658" s="4" t="n">
        <v>607</v>
      </c>
      <c r="I658" s="5" t="n">
        <v>65.90000000000001</v>
      </c>
      <c r="J658" s="5" t="n">
        <v>28</v>
      </c>
      <c r="K658" s="3" t="inlineStr">
        <is>
          <t>확 낮춘 가격의 저렴한  투자용 농지</t>
        </is>
      </c>
      <c r="L658" s="6">
        <f>HYPERLINK("https://fin.land.naver.com/articles/2653975229", "매물Link")</f>
        <v/>
      </c>
      <c r="M658" s="6">
        <f>HYPERLINK("https://map.naver.com/p/search/금남면 영치리 306-1", "지도Link")</f>
        <v/>
      </c>
      <c r="N658" s="6">
        <f>HYPERLINK("http://www.eum.go.kr/web/ar/lu/luLandDet.jsp?pnu=3611034028103060001&amp;isNoScr=script&amp;mode=search", "토지이음")</f>
        <v/>
      </c>
      <c r="O658" s="3" t="inlineStr">
        <is>
          <t>우림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영치리 74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38000</v>
      </c>
      <c r="G659" s="4" t="n">
        <v>2569</v>
      </c>
      <c r="H659" s="4" t="n">
        <v>777</v>
      </c>
      <c r="I659" s="5" t="n">
        <v>48.9</v>
      </c>
      <c r="J659" s="5" t="n">
        <v>37</v>
      </c>
      <c r="K659" s="3" t="inlineStr">
        <is>
          <t>도시지역 토지</t>
        </is>
      </c>
      <c r="L659" s="6">
        <f>HYPERLINK("https://fin.land.naver.com/articles/2654762249", "매물Link")</f>
        <v/>
      </c>
      <c r="M659" s="6">
        <f>HYPERLINK("https://map.naver.com/p/search/금남면 영치리 74", "지도Link")</f>
        <v/>
      </c>
      <c r="N659" s="6">
        <f>HYPERLINK("http://www.eum.go.kr/web/ar/lu/luLandDet.jsp?pnu=3611034028100740000&amp;isNoScr=script&amp;mode=search", "토지이음")</f>
        <v/>
      </c>
      <c r="O659" s="3" t="inlineStr">
        <is>
          <t>일등사무소</t>
        </is>
      </c>
      <c r="P659" s="4" t="n">
        <v>1</v>
      </c>
      <c r="Q659" s="4" t="n">
        <v>2569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영치리 8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80000</v>
      </c>
      <c r="G660" s="4" t="n">
        <v>1761</v>
      </c>
      <c r="H660" s="4" t="n">
        <v>533</v>
      </c>
      <c r="I660" s="5" t="n">
        <v>150.1</v>
      </c>
      <c r="J660" s="5" t="n">
        <v>39.7</v>
      </c>
      <c r="K660" s="3" t="inlineStr">
        <is>
          <t>2차선도로에 접한 정사각형 모양의 도시지역 자연녹지지역의 개발제한구역토지</t>
        </is>
      </c>
      <c r="L660" s="6">
        <f>HYPERLINK("https://fin.land.naver.com/articles/2653241735", "매물Link")</f>
        <v/>
      </c>
      <c r="M660" s="6">
        <f>HYPERLINK("https://map.naver.com/p/search/금남면 영치리 8", "지도Link")</f>
        <v/>
      </c>
      <c r="N660" s="6">
        <f>HYPERLINK("http://www.eum.go.kr/web/ar/lu/luLandDet.jsp?pnu=3611034028100080000&amp;isNoScr=script&amp;mode=search", "토지이음")</f>
        <v/>
      </c>
      <c r="O660" s="3" t="inlineStr">
        <is>
          <t>스마일세종</t>
        </is>
      </c>
      <c r="P660" s="4" t="n">
        <v>1</v>
      </c>
      <c r="Q660" s="4" t="n">
        <v>1516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금남면 용담리 111-7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30000</v>
      </c>
      <c r="G661" s="4" t="n">
        <v>317</v>
      </c>
      <c r="H661" s="4" t="n">
        <v>96</v>
      </c>
      <c r="I661" s="5" t="n">
        <v>312.5</v>
      </c>
      <c r="J661" s="5" t="n">
        <v>140.8</v>
      </c>
      <c r="K661" s="3" t="inlineStr">
        <is>
          <t>nan</t>
        </is>
      </c>
      <c r="L661" s="6">
        <f>HYPERLINK("https://fin.land.naver.com/articles/2654498018", "매물Link")</f>
        <v/>
      </c>
      <c r="M661" s="6">
        <f>HYPERLINK("https://map.naver.com/p/search/금남면 용담리 111-7", "지도Link")</f>
        <v/>
      </c>
      <c r="N661" s="6">
        <f>HYPERLINK("http://www.eum.go.kr/web/ar/lu/luLandDet.jsp?pnu=3611034025101110007&amp;isNoScr=script&amp;mode=search", "토지이음")</f>
        <v/>
      </c>
      <c r="O661" s="3" t="inlineStr">
        <is>
          <t>내동굿모닝</t>
        </is>
      </c>
      <c r="P661" s="4" t="n">
        <v>1</v>
      </c>
      <c r="Q661" s="4" t="n">
        <v>317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세로각지(가)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네모반듯하고 햇볕 잘드는 전원주택지</t>
        </is>
      </c>
      <c r="L662" s="6">
        <f>HYPERLINK("https://fin.land.naver.com/articles/2651892900",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창고의여왕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157-1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125000</v>
      </c>
      <c r="G663" s="4" t="n">
        <v>2760</v>
      </c>
      <c r="H663" s="4" t="n">
        <v>835</v>
      </c>
      <c r="I663" s="5" t="n">
        <v>149.7</v>
      </c>
      <c r="J663" s="5" t="n">
        <v>56.8</v>
      </c>
      <c r="K663" s="3" t="inlineStr">
        <is>
          <t>2차선 도로에 접해 있어 주말농장 및 투자가치 좋은 토지</t>
        </is>
      </c>
      <c r="L663" s="6">
        <f>HYPERLINK("https://fin.land.naver.com/articles/2652791185", "매물Link")</f>
        <v/>
      </c>
      <c r="M663" s="6">
        <f>HYPERLINK("https://map.naver.com/p/search/금남면 용담리 157-1", "지도Link")</f>
        <v/>
      </c>
      <c r="N663" s="6">
        <f>HYPERLINK("http://www.eum.go.kr/web/ar/lu/luLandDet.jsp?pnu=3611034025101570001&amp;isNoScr=script&amp;mode=search", "토지이음")</f>
        <v/>
      </c>
      <c r="O663" s="3" t="inlineStr">
        <is>
          <t>금화랜드</t>
        </is>
      </c>
      <c r="P663" s="4" t="n">
        <v>1</v>
      </c>
      <c r="Q663" s="4" t="n">
        <v>2760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용담리 246-2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20000</v>
      </c>
      <c r="G664" s="4" t="n">
        <v>1554</v>
      </c>
      <c r="H664" s="4" t="n">
        <v>470</v>
      </c>
      <c r="I664" s="5" t="n">
        <v>42.6</v>
      </c>
      <c r="J664" s="5" t="n">
        <v>28.2</v>
      </c>
      <c r="K664" s="3" t="inlineStr">
        <is>
          <t>소액투자 가능,향후 활용 개발 여지 기대,조율가능</t>
        </is>
      </c>
      <c r="L664" s="6">
        <f>HYPERLINK("https://fin.land.naver.com/articles/2653342480", "매물Link")</f>
        <v/>
      </c>
      <c r="M664" s="6">
        <f>HYPERLINK("https://map.naver.com/p/search/금남면 용담리 246-2", "지도Link")</f>
        <v/>
      </c>
      <c r="N664" s="6">
        <f>HYPERLINK("http://www.eum.go.kr/web/ar/lu/luLandDet.jsp?pnu=3611034025102460002&amp;isNoScr=script&amp;mode=search",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1554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용담리 247</t>
        </is>
      </c>
      <c r="B665" s="3" t="inlineStr">
        <is>
          <t>자연녹지지역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41000</v>
      </c>
      <c r="G665" s="4" t="n">
        <v>539</v>
      </c>
      <c r="H665" s="4" t="n">
        <v>163</v>
      </c>
      <c r="I665" s="5" t="n">
        <v>251.5</v>
      </c>
      <c r="J665" s="5" t="n">
        <v>98.3</v>
      </c>
      <c r="K665" s="3" t="inlineStr">
        <is>
          <t>도로 접한 투자가치 좋은 토지</t>
        </is>
      </c>
      <c r="L665" s="6">
        <f>HYPERLINK("https://fin.land.naver.com/articles/2655612386", "매물Link")</f>
        <v/>
      </c>
      <c r="M665" s="6">
        <f>HYPERLINK("https://map.naver.com/p/search/금남면 용담리 247", "지도Link")</f>
        <v/>
      </c>
      <c r="N665" s="6">
        <f>HYPERLINK("http://www.eum.go.kr/web/ar/lu/luLandDet.jsp?pnu=3611034025102470000&amp;isNoScr=script&amp;mode=search", "토지이음")</f>
        <v/>
      </c>
      <c r="O665" s="3" t="inlineStr">
        <is>
          <t>메트로무소</t>
        </is>
      </c>
      <c r="P665" s="4" t="n">
        <v>1</v>
      </c>
      <c r="Q665" s="4" t="n">
        <v>539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20000</v>
      </c>
      <c r="G666" s="4" t="n">
        <v>539</v>
      </c>
      <c r="H666" s="4" t="n">
        <v>163</v>
      </c>
      <c r="I666" s="5" t="n">
        <v>122.7</v>
      </c>
      <c r="J666" s="5" t="n">
        <v>98.3</v>
      </c>
      <c r="K666" s="3" t="inlineStr">
        <is>
          <t>자연취락지구포장도로 접근, 남세종IC세종생활권 연계 우수</t>
        </is>
      </c>
      <c r="L666" s="6">
        <f>HYPERLINK("https://fin.land.naver.com/articles/2651259348",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718</v>
      </c>
      <c r="H667" s="4" t="n">
        <v>217</v>
      </c>
      <c r="I667" s="5" t="n">
        <v>188.9</v>
      </c>
      <c r="J667" s="5" t="n">
        <v>137.5</v>
      </c>
      <c r="K667" s="3" t="inlineStr">
        <is>
          <t>용담리 길따라 위치한 정중앙 주택. 넓은마당 단독주택 편안한삶 추천</t>
        </is>
      </c>
      <c r="L667" s="6">
        <f>HYPERLINK("https://fin.land.naver.com/articles/2651553860", "매물Link")</f>
        <v/>
      </c>
      <c r="M667" s="6">
        <f>HYPERLINK("https://map.naver.com/p/search/금남면 용담리 249-2", "지도Link")</f>
        <v/>
      </c>
      <c r="N667" s="6">
        <f>HYPERLINK("http://www.eum.go.kr/web/ar/lu/luLandDet.jsp?pnu=3611034025102490002&amp;isNoScr=script&amp;mode=search", "토지이음")</f>
        <v/>
      </c>
      <c r="O667" s="3" t="inlineStr">
        <is>
          <t>땅집사</t>
        </is>
      </c>
      <c r="P667" s="4" t="n">
        <v>1</v>
      </c>
      <c r="Q667" s="4" t="n">
        <v>718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259-1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76000</v>
      </c>
      <c r="G668" s="4" t="n">
        <v>1927</v>
      </c>
      <c r="H668" s="4" t="n">
        <v>583</v>
      </c>
      <c r="I668" s="5" t="n">
        <v>130.4</v>
      </c>
      <c r="J668" s="5" t="n">
        <v>55.1</v>
      </c>
      <c r="K668" s="3" t="inlineStr">
        <is>
          <t>조율가능,도로와 접해 활용도 좋은토지,세종 대전 더블생활권</t>
        </is>
      </c>
      <c r="L668" s="6">
        <f>HYPERLINK("https://fin.land.naver.com/articles/2653705004", "매물Link")</f>
        <v/>
      </c>
      <c r="M668" s="6">
        <f>HYPERLINK("https://map.naver.com/p/search/금남면 용담리 259-1", "지도Link")</f>
        <v/>
      </c>
      <c r="N668" s="6">
        <f>HYPERLINK("http://www.eum.go.kr/web/ar/lu/luLandDet.jsp?pnu=3611034025102590001&amp;isNoScr=script&amp;mode=search", "토지이음")</f>
        <v/>
      </c>
      <c r="O668" s="3" t="inlineStr">
        <is>
          <t>가치잇는</t>
        </is>
      </c>
      <c r="P668" s="4" t="n">
        <v>1</v>
      </c>
      <c r="Q668" s="4" t="n">
        <v>1927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270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50000</v>
      </c>
      <c r="G669" s="4" t="n">
        <v>1408</v>
      </c>
      <c r="H669" s="4" t="n">
        <v>426</v>
      </c>
      <c r="I669" s="5" t="n">
        <v>117.4</v>
      </c>
      <c r="J669" s="5" t="n">
        <v>33</v>
      </c>
      <c r="K669" s="3" t="inlineStr">
        <is>
          <t>O현재 밭으로 사용중.O.도로에접함.O.남세종ic 인접함</t>
        </is>
      </c>
      <c r="L669" s="6">
        <f>HYPERLINK("https://fin.land.naver.com/articles/2656248947", "매물Link")</f>
        <v/>
      </c>
      <c r="M669" s="6">
        <f>HYPERLINK("https://map.naver.com/p/search/금남면 용담리 270", "지도Link")</f>
        <v/>
      </c>
      <c r="N669" s="6">
        <f>HYPERLINK("http://www.eum.go.kr/web/ar/lu/luLandDet.jsp?pnu=3611034025102700000&amp;isNoScr=script&amp;mode=search", "토지이음")</f>
        <v/>
      </c>
      <c r="O669" s="3" t="inlineStr">
        <is>
          <t>보람뜰</t>
        </is>
      </c>
      <c r="P669" s="4" t="n">
        <v>9</v>
      </c>
      <c r="Q669" s="4" t="n">
        <v>1408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마을 인접 현황 진입 가능한 금남면 영농형 농지</t>
        </is>
      </c>
      <c r="L670" s="6">
        <f>HYPERLINK("https://fin.land.naver.com/articles/2655038694",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세종소담황금</t>
        </is>
      </c>
      <c r="P670" s="4" t="n">
        <v>1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56-1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24500</v>
      </c>
      <c r="G671" s="4" t="n">
        <v>1157</v>
      </c>
      <c r="H671" s="4" t="n">
        <v>350</v>
      </c>
      <c r="I671" s="5" t="n">
        <v>70</v>
      </c>
      <c r="J671" s="5" t="n">
        <v>35.1</v>
      </c>
      <c r="K671" s="3" t="inlineStr">
        <is>
          <t>용담리. 지가 상승 지역으로 투자 강추</t>
        </is>
      </c>
      <c r="L671" s="6">
        <f>HYPERLINK("https://fin.land.naver.com/articles/2652722784", "매물Link")</f>
        <v/>
      </c>
      <c r="M671" s="6">
        <f>HYPERLINK("https://map.naver.com/p/search/금남면 용담리 56-1", "지도Link")</f>
        <v/>
      </c>
      <c r="N671" s="6">
        <f>HYPERLINK("http://www.eum.go.kr/web/ar/lu/luLandDet.jsp?pnu=3611034025100560001&amp;isNoScr=script&amp;mode=search", "토지이음")</f>
        <v/>
      </c>
      <c r="O671" s="3" t="inlineStr">
        <is>
          <t>내동굿모닝</t>
        </is>
      </c>
      <c r="P671" s="4" t="n">
        <v>1</v>
      </c>
      <c r="Q671" s="4" t="n">
        <v>1157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21000</v>
      </c>
      <c r="G672" s="4" t="n">
        <v>1157</v>
      </c>
      <c r="H672" s="4" t="n">
        <v>350</v>
      </c>
      <c r="I672" s="5" t="n">
        <v>60</v>
      </c>
      <c r="J672" s="5" t="n">
        <v>35.1</v>
      </c>
      <c r="K672" s="3" t="inlineStr">
        <is>
          <t>대토용토지 추천</t>
        </is>
      </c>
      <c r="L672" s="6">
        <f>HYPERLINK("https://fin.land.naver.com/articles/2651107543",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창고의여왕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57</t>
        </is>
      </c>
      <c r="B673" s="3" t="inlineStr">
        <is>
          <t>개발제한구역</t>
        </is>
      </c>
      <c r="C673" s="3" t="inlineStr">
        <is>
          <t>창고용지</t>
        </is>
      </c>
      <c r="D673" s="3" t="inlineStr">
        <is>
          <t>답</t>
        </is>
      </c>
      <c r="E673" s="3" t="inlineStr">
        <is>
          <t>매매</t>
        </is>
      </c>
      <c r="F673" s="4" t="n">
        <v>43000</v>
      </c>
      <c r="G673" s="4" t="n">
        <v>1737</v>
      </c>
      <c r="H673" s="4" t="n">
        <v>525</v>
      </c>
      <c r="I673" s="5" t="n">
        <v>81.90000000000001</v>
      </c>
      <c r="J673" s="5" t="n">
        <v>44.2</v>
      </c>
      <c r="K673" s="3" t="inlineStr">
        <is>
          <t>금남면 용담리 토지매매(창고1동 포함)</t>
        </is>
      </c>
      <c r="L673" s="6">
        <f>HYPERLINK("https://fin.land.naver.com/articles/2654357547", "매물Link")</f>
        <v/>
      </c>
      <c r="M673" s="6">
        <f>HYPERLINK("https://map.naver.com/p/search/금남면 용담리 57", "지도Link")</f>
        <v/>
      </c>
      <c r="N673" s="6">
        <f>HYPERLINK("http://www.eum.go.kr/web/ar/lu/luLandDet.jsp?pnu=3611034025100570000&amp;isNoScr=script&amp;mode=search", "토지이음")</f>
        <v/>
      </c>
      <c r="O673" s="3" t="inlineStr">
        <is>
          <t>비전</t>
        </is>
      </c>
      <c r="P673" s="4" t="n">
        <v>1</v>
      </c>
      <c r="Q673" s="4" t="n">
        <v>130</v>
      </c>
      <c r="R673" s="3" t="inlineStr">
        <is>
          <t>지정되지않음</t>
        </is>
      </c>
      <c r="S673" s="3" t="inlineStr">
        <is>
          <t>답창고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세로한면(가)</t>
        </is>
      </c>
    </row>
    <row r="674">
      <c r="A674" s="3" t="inlineStr">
        <is>
          <t>금남면 용포리 123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141600</v>
      </c>
      <c r="G674" s="4" t="n">
        <v>588</v>
      </c>
      <c r="H674" s="4" t="n">
        <v>178</v>
      </c>
      <c r="I674" s="5" t="n">
        <v>795.5</v>
      </c>
      <c r="J674" s="5" t="n">
        <v>311.9</v>
      </c>
      <c r="K674" s="3" t="inlineStr">
        <is>
          <t>행복도시와 연접해 있는 편리한 생활권</t>
        </is>
      </c>
      <c r="L674" s="6">
        <f>HYPERLINK("https://fin.land.naver.com/articles/2656398697", "매물Link")</f>
        <v/>
      </c>
      <c r="M674" s="6">
        <f>HYPERLINK("https://map.naver.com/p/search/금남면 용포리 123", "지도Link")</f>
        <v/>
      </c>
      <c r="N674" s="6">
        <f>HYPERLINK("http://www.eum.go.kr/web/ar/lu/luLandDet.jsp?pnu=3611034021101230000&amp;isNoScr=script&amp;mode=search", "토지이음")</f>
        <v/>
      </c>
      <c r="O674" s="3" t="inlineStr">
        <is>
          <t>발품</t>
        </is>
      </c>
      <c r="P674" s="4" t="n">
        <v>1</v>
      </c>
      <c r="Q674" s="4" t="n">
        <v>588</v>
      </c>
      <c r="R674" s="3" t="inlineStr">
        <is>
          <t>지정되지않음</t>
        </is>
      </c>
      <c r="S674" s="3" t="inlineStr">
        <is>
          <t>전기타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HYPERLINK("https://fin.land.naver.com/articles/2656181292",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HYPERLINK("https://fin.land.naver.com/articles/2656473219",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 접한 현황 토지(농지) 그린벨트지역 보기 좋은 토지</t>
        </is>
      </c>
      <c r="L686" s="6">
        <f>HYPERLINK("https://fin.land.naver.com/articles/2651396670",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로데오상가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2차선 도로접 지대가 높고 막힘없는 조망권뷰 최상,체육공원인접</t>
        </is>
      </c>
      <c r="L688" s="6">
        <f>HYPERLINK("https://fin.land.naver.com/articles/2653427208",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고운맘</t>
        </is>
      </c>
      <c r="P688" s="4" t="n">
        <v>1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111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20000</v>
      </c>
      <c r="G694" s="4" t="n">
        <v>1091</v>
      </c>
      <c r="H694" s="4" t="n">
        <v>330</v>
      </c>
      <c r="I694" s="5" t="n">
        <v>60.6</v>
      </c>
      <c r="J694" s="5" t="n">
        <v>68.8</v>
      </c>
      <c r="K694" s="3" t="inlineStr">
        <is>
          <t>계획관리토지로 투자용으로 추천</t>
        </is>
      </c>
      <c r="L694" s="6">
        <f>HYPERLINK("https://fin.land.naver.com/articles/2654473704", "매물Link")</f>
        <v/>
      </c>
      <c r="M694" s="6">
        <f>HYPERLINK("https://map.naver.com/p/search/금남면 원봉리 111", "지도Link")</f>
        <v/>
      </c>
      <c r="N694" s="6">
        <f>HYPERLINK("http://www.eum.go.kr/web/ar/lu/luLandDet.jsp?pnu=3611034045101110000&amp;isNoScr=script&amp;mode=search", "토지이음")</f>
        <v/>
      </c>
      <c r="O694" s="3" t="inlineStr">
        <is>
          <t>국제</t>
        </is>
      </c>
      <c r="P694" s="4" t="n">
        <v>2</v>
      </c>
      <c r="Q694" s="4" t="n">
        <v>1091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23</t>
        </is>
      </c>
      <c r="B695" s="3" t="inlineStr">
        <is>
          <t>생산관리지역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60500</v>
      </c>
      <c r="G695" s="4" t="n">
        <v>1540</v>
      </c>
      <c r="H695" s="4" t="n">
        <v>466</v>
      </c>
      <c r="I695" s="5" t="n">
        <v>129.8</v>
      </c>
      <c r="J695" s="5" t="n">
        <v>59.1</v>
      </c>
      <c r="K695" s="3" t="inlineStr">
        <is>
          <t>금남면 원봉리 전 1,540㎡ 생산관리지역, 성장관리계획구역</t>
        </is>
      </c>
      <c r="L695" s="6">
        <f>HYPERLINK("https://fin.land.naver.com/articles/2656128249", "매물Link")</f>
        <v/>
      </c>
      <c r="M695" s="6">
        <f>HYPERLINK("https://map.naver.com/p/search/금남면 원봉리 23", "지도Link")</f>
        <v/>
      </c>
      <c r="N695" s="6">
        <f>HYPERLINK("http://www.eum.go.kr/web/ar/lu/luLandDet.jsp?pnu=3611034045100230000&amp;isNoScr=script&amp;mode=search", "토지이음")</f>
        <v/>
      </c>
      <c r="O695" s="3" t="inlineStr">
        <is>
          <t>리베라아이누리</t>
        </is>
      </c>
      <c r="P695" s="4" t="n">
        <v>1</v>
      </c>
      <c r="Q695" s="4" t="n">
        <v>1540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476-3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19000</v>
      </c>
      <c r="G706" s="4" t="n">
        <v>397</v>
      </c>
      <c r="H706" s="4" t="n">
        <v>120</v>
      </c>
      <c r="I706" s="5" t="n">
        <v>158.3</v>
      </c>
      <c r="J706" s="5" t="n">
        <v>53.1</v>
      </c>
      <c r="K706" s="3" t="inlineStr">
        <is>
          <t>원봉리위치좋은곳이에요</t>
        </is>
      </c>
      <c r="L706" s="6">
        <f>HYPERLINK("https://fin.land.naver.com/articles/2656156483", "매물Link")</f>
        <v/>
      </c>
      <c r="M706" s="6">
        <f>HYPERLINK("https://map.naver.com/p/search/금남면 원봉리 476-3", "지도Link")</f>
        <v/>
      </c>
      <c r="N706" s="6">
        <f>HYPERLINK("http://www.eum.go.kr/web/ar/lu/luLandDet.jsp?pnu=3611034045104760003&amp;isNoScr=script&amp;mode=search", "토지이음")</f>
        <v/>
      </c>
      <c r="O706" s="3" t="inlineStr">
        <is>
          <t>가장힐스테이트백억</t>
        </is>
      </c>
      <c r="P706" s="4" t="n">
        <v>1</v>
      </c>
      <c r="Q706" s="4" t="n">
        <v>397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금남면 원봉리 510-3</t>
        </is>
      </c>
      <c r="B707" s="3" t="inlineStr">
        <is>
          <t>생산관리지역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35000</v>
      </c>
      <c r="G707" s="4" t="n">
        <v>625</v>
      </c>
      <c r="H707" s="4" t="n">
        <v>189</v>
      </c>
      <c r="I707" s="5" t="n">
        <v>185.2</v>
      </c>
      <c r="J707" s="5" t="n">
        <v>51.4</v>
      </c>
      <c r="K707" s="3" t="inlineStr">
        <is>
          <t>성장관리구역,</t>
        </is>
      </c>
      <c r="L707" s="6">
        <f>HYPERLINK("https://fin.land.naver.com/articles/2655340850", "매물Link")</f>
        <v/>
      </c>
      <c r="M707" s="6">
        <f>HYPERLINK("https://map.naver.com/p/search/금남면 원봉리 510-3", "지도Link")</f>
        <v/>
      </c>
      <c r="N707" s="6">
        <f>HYPERLINK("http://www.eum.go.kr/web/ar/lu/luLandDet.jsp?pnu=3611034045105100003&amp;isNoScr=script&amp;mode=search", "토지이음")</f>
        <v/>
      </c>
      <c r="O707" s="3" t="inlineStr">
        <is>
          <t>역전</t>
        </is>
      </c>
      <c r="P707" s="4" t="n">
        <v>1</v>
      </c>
      <c r="Q707" s="4" t="n">
        <v>625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완경사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HYPERLINK("https://fin.land.naver.com/articles/2650898567",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세종,대전 접근성좋은 계획관리 대지</t>
        </is>
      </c>
      <c r="L710" s="6">
        <f>HYPERLINK("https://fin.land.naver.com/articles/2654217304",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가치잇는</t>
        </is>
      </c>
      <c r="P710" s="4" t="n">
        <v>2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세종시와 근접하고 금강수목원 인접지</t>
        </is>
      </c>
      <c r="L711" s="6">
        <f>HYPERLINK("https://fin.land.naver.com/articles/2653274348",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늘봄</t>
        </is>
      </c>
      <c r="P711" s="4" t="n">
        <v>1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진입도로 돼있고요 전원주택지  세종시청 15분 거리입니다</t>
        </is>
      </c>
      <c r="L713" s="6">
        <f>HYPERLINK("https://fin.land.naver.com/articles/2654323258",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1041</v>
      </c>
      <c r="H716" s="4" t="n">
        <v>315</v>
      </c>
      <c r="I716" s="5" t="n">
        <v>190.5</v>
      </c>
      <c r="J716" s="5" t="n">
        <v>167.7</v>
      </c>
      <c r="K716" s="3" t="inlineStr">
        <is>
          <t>이가격까지 내려갈줄 몰랐죠</t>
        </is>
      </c>
      <c r="L716" s="6">
        <f>HYPERLINK("https://fin.land.naver.com/articles/2651938110",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용궁</t>
        </is>
      </c>
      <c r="P716" s="4" t="n">
        <v>2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49500</v>
      </c>
      <c r="G727" s="4" t="n">
        <v>327</v>
      </c>
      <c r="H727" s="4" t="n">
        <v>99</v>
      </c>
      <c r="I727" s="5" t="n">
        <v>500</v>
      </c>
      <c r="J727" s="5" t="n">
        <v>208.2</v>
      </c>
      <c r="K727" s="3" t="inlineStr">
        <is>
          <t>nan</t>
        </is>
      </c>
      <c r="L727" s="6">
        <f>HYPERLINK("https://fin.land.naver.com/articles/2656238913",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하이엔드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538-1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33000</v>
      </c>
      <c r="G731" s="4" t="n">
        <v>1200</v>
      </c>
      <c r="H731" s="4" t="n">
        <v>363</v>
      </c>
      <c r="I731" s="5" t="n">
        <v>90.90000000000001</v>
      </c>
      <c r="J731" s="5" t="n">
        <v>31.7</v>
      </c>
      <c r="K731" s="3" t="inlineStr">
        <is>
          <t>세종,대전 접근성좋은 토지</t>
        </is>
      </c>
      <c r="L731" s="6">
        <f>HYPERLINK("https://fin.land.naver.com/articles/2653342560", "매물Link")</f>
        <v/>
      </c>
      <c r="M731" s="6">
        <f>HYPERLINK("https://map.naver.com/p/search/금남면 축산리 538-1", "지도Link")</f>
        <v/>
      </c>
      <c r="N731" s="6">
        <f>HYPERLINK("http://www.eum.go.kr/web/ar/lu/luLandDet.jsp?pnu=3611034026105380001&amp;isNoScr=script&amp;mode=search", "토지이음")</f>
        <v/>
      </c>
      <c r="O731" s="3" t="inlineStr">
        <is>
          <t>가치잇는</t>
        </is>
      </c>
      <c r="P731" s="4" t="n">
        <v>1</v>
      </c>
      <c r="Q731" s="4" t="n">
        <v>1200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540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44000</v>
      </c>
      <c r="G732" s="4" t="n">
        <v>1719</v>
      </c>
      <c r="H732" s="4" t="n">
        <v>520</v>
      </c>
      <c r="I732" s="5" t="n">
        <v>84.59999999999999</v>
      </c>
      <c r="J732" s="5" t="n">
        <v>31.7</v>
      </c>
      <c r="K732" s="3" t="inlineStr">
        <is>
          <t>정부청사10분 남세종IC 5분 금남면 축산리 토지</t>
        </is>
      </c>
      <c r="L732" s="6">
        <f>HYPERLINK("https://fin.land.naver.com/articles/2653632239", "매물Link")</f>
        <v/>
      </c>
      <c r="M732" s="6">
        <f>HYPERLINK("https://map.naver.com/p/search/금남면 축산리 540", "지도Link")</f>
        <v/>
      </c>
      <c r="N732" s="6">
        <f>HYPERLINK("http://www.eum.go.kr/web/ar/lu/luLandDet.jsp?pnu=3611034026105400000&amp;isNoScr=script&amp;mode=search",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1719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566-9</t>
        </is>
      </c>
      <c r="B733" s="3" t="inlineStr">
        <is>
          <t>개발제한구역</t>
        </is>
      </c>
      <c r="C733" s="3" t="inlineStr">
        <is>
          <t>창고용지</t>
        </is>
      </c>
      <c r="D733" s="3" t="inlineStr">
        <is>
          <t>창고용지</t>
        </is>
      </c>
      <c r="E733" s="3" t="inlineStr">
        <is>
          <t>매매</t>
        </is>
      </c>
      <c r="F733" s="4" t="n">
        <v>120000</v>
      </c>
      <c r="G733" s="4" t="n">
        <v>2140</v>
      </c>
      <c r="H733" s="4" t="n">
        <v>647</v>
      </c>
      <c r="I733" s="5" t="n">
        <v>185.5</v>
      </c>
      <c r="J733" s="5" t="n">
        <v>43.7</v>
      </c>
      <c r="K733" s="3" t="inlineStr">
        <is>
          <t>카페 바베큐식당  토지 및 건물 매매 건</t>
        </is>
      </c>
      <c r="L733" s="6">
        <f>HYPERLINK("https://fin.land.naver.com/articles/2654396303", "매물Link")</f>
        <v/>
      </c>
      <c r="M733" s="6">
        <f>HYPERLINK("https://map.naver.com/p/search/금남면 축산리 566-9", "지도Link")</f>
        <v/>
      </c>
      <c r="N733" s="6">
        <f>HYPERLINK("http://www.eum.go.kr/web/ar/lu/luLandDet.jsp?pnu=3611034026105660009&amp;isNoScr=script&amp;mode=search", "토지이음")</f>
        <v/>
      </c>
      <c r="O733" s="3" t="inlineStr">
        <is>
          <t>봉담내리지구찐</t>
        </is>
      </c>
      <c r="P733" s="4" t="n">
        <v>1</v>
      </c>
      <c r="Q733" s="4" t="n">
        <v>451</v>
      </c>
      <c r="R733" s="3" t="inlineStr">
        <is>
          <t>지정되지않음</t>
        </is>
      </c>
      <c r="S733" s="3" t="inlineStr">
        <is>
          <t>전창고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축산리 86-4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70000</v>
      </c>
      <c r="G734" s="4" t="n">
        <v>1477</v>
      </c>
      <c r="H734" s="4" t="n">
        <v>447</v>
      </c>
      <c r="I734" s="5" t="n">
        <v>156.6</v>
      </c>
      <c r="J734" s="5" t="n">
        <v>37.2</v>
      </c>
      <c r="K734" s="3" t="inlineStr">
        <is>
          <t>마을입구 마을회관 앞 광장에 접함, 전원주택 등 추천</t>
        </is>
      </c>
      <c r="L734" s="6">
        <f>HYPERLINK("https://fin.land.naver.com/articles/2655847647", "매물Link")</f>
        <v/>
      </c>
      <c r="M734" s="6">
        <f>HYPERLINK("https://map.naver.com/p/search/금남면 축산리 86-4", "지도Link")</f>
        <v/>
      </c>
      <c r="N734" s="6">
        <f>HYPERLINK("http://www.eum.go.kr/web/ar/lu/luLandDet.jsp?pnu=3611034026100860004&amp;isNoScr=script&amp;mode=search",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736</v>
      </c>
      <c r="R734" s="3" t="inlineStr">
        <is>
          <t>자연녹지지역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122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952</v>
      </c>
      <c r="H735" s="4" t="n">
        <v>288</v>
      </c>
      <c r="I735" s="5" t="n">
        <v>520.8</v>
      </c>
      <c r="J735" s="5" t="n">
        <v>239.6</v>
      </c>
      <c r="K735" s="3" t="inlineStr">
        <is>
          <t>세종의 숨은 노른자 호탄리 건축 가능 대지</t>
        </is>
      </c>
      <c r="L735" s="6">
        <f>HYPERLINK("https://fin.land.naver.com/articles/2652940773", "매물Link")</f>
        <v/>
      </c>
      <c r="M735" s="6">
        <f>HYPERLINK("https://map.naver.com/p/search/금남면 호탄리 122", "지도Link")</f>
        <v/>
      </c>
      <c r="N735" s="6">
        <f>HYPERLINK("http://www.eum.go.kr/web/ar/lu/luLandDet.jsp?pnu=3611034037101220000&amp;isNoScr=script&amp;mode=search", "토지이음")</f>
        <v/>
      </c>
      <c r="O735" s="3" t="inlineStr">
        <is>
          <t>삼복</t>
        </is>
      </c>
      <c r="P735" s="4" t="n">
        <v>1</v>
      </c>
      <c r="Q735" s="4" t="n">
        <v>572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135</t>
        </is>
      </c>
      <c r="B736" s="3" t="inlineStr">
        <is>
          <t>제1종일반주거지역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380000</v>
      </c>
      <c r="G736" s="4" t="n">
        <v>1701</v>
      </c>
      <c r="H736" s="4" t="n">
        <v>515</v>
      </c>
      <c r="I736" s="5" t="n">
        <v>737.9</v>
      </c>
      <c r="J736" s="5" t="n">
        <v>361.7</v>
      </c>
      <c r="K736" s="3" t="inlineStr">
        <is>
          <t>급매호탄리 근린생활시설건축가능토지</t>
        </is>
      </c>
      <c r="L736" s="6">
        <f>HYPERLINK("https://fin.land.naver.com/articles/2655435916", "매물Link")</f>
        <v/>
      </c>
      <c r="M736" s="6">
        <f>HYPERLINK("https://map.naver.com/p/search/금남면 호탄리 135", "지도Link")</f>
        <v/>
      </c>
      <c r="N736" s="6">
        <f>HYPERLINK("http://www.eum.go.kr/web/ar/lu/luLandDet.jsp?pnu=3611034037101350000&amp;isNoScr=script&amp;mode=search", "토지이음")</f>
        <v/>
      </c>
      <c r="O736" s="3" t="inlineStr">
        <is>
          <t>세계로</t>
        </is>
      </c>
      <c r="P736" s="4" t="n">
        <v>2</v>
      </c>
      <c r="Q736" s="4" t="n">
        <v>1701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소로한면</t>
        </is>
      </c>
    </row>
    <row r="737">
      <c r="A737" s="3" t="inlineStr">
        <is>
          <t>금남면 호탄리 143-1</t>
        </is>
      </c>
      <c r="B737" s="3" t="inlineStr">
        <is>
          <t>개발제한구역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110000</v>
      </c>
      <c r="G737" s="4" t="n">
        <v>14079</v>
      </c>
      <c r="H737" s="4" t="n">
        <v>4259</v>
      </c>
      <c r="I737" s="5" t="n">
        <v>25.8</v>
      </c>
      <c r="J737" s="5" t="n">
        <v>3.8</v>
      </c>
      <c r="K737" s="3" t="inlineStr">
        <is>
          <t>e루다 개발호재가득한임야,투자하실매매물건,4259</t>
        </is>
      </c>
      <c r="L737" s="6">
        <f>HYPERLINK("https://fin.land.naver.com/articles/2652866439", "매물Link")</f>
        <v/>
      </c>
      <c r="M737" s="6">
        <f>HYPERLINK("https://map.naver.com/p/search/금남면 호탄리 143-1", "지도Link")</f>
        <v/>
      </c>
      <c r="N737" s="6">
        <f>HYPERLINK("http://www.eum.go.kr/web/ar/lu/luLandDet.jsp?pnu=3611034037101430001&amp;isNoScr=script&amp;mode=search", "토지이음")</f>
        <v/>
      </c>
      <c r="O737" s="3" t="inlineStr">
        <is>
          <t>이루다</t>
        </is>
      </c>
      <c r="P737" s="4" t="n">
        <v>1</v>
      </c>
      <c r="Q737" s="4" t="n">
        <v>14078</v>
      </c>
      <c r="R737" s="3" t="inlineStr">
        <is>
          <t>지정되지않음</t>
        </is>
      </c>
      <c r="S737" s="3" t="inlineStr">
        <is>
          <t>자연림</t>
        </is>
      </c>
      <c r="T737" s="3" t="inlineStr">
        <is>
          <t>급경사</t>
        </is>
      </c>
      <c r="U737" s="3" t="inlineStr">
        <is>
          <t>부정형</t>
        </is>
      </c>
      <c r="V737" s="3" t="inlineStr">
        <is>
          <t>세로한면(불)</t>
        </is>
      </c>
    </row>
    <row r="738">
      <c r="A738" s="3" t="inlineStr">
        <is>
          <t>금남면 호탄리 152-7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과수원</t>
        </is>
      </c>
      <c r="E738" s="3" t="inlineStr">
        <is>
          <t>매매</t>
        </is>
      </c>
      <c r="F738" s="4" t="n">
        <v>295000</v>
      </c>
      <c r="G738" s="4" t="n">
        <v>1157</v>
      </c>
      <c r="H738" s="4" t="n">
        <v>350</v>
      </c>
      <c r="I738" s="5" t="n">
        <v>842.9</v>
      </c>
      <c r="J738" s="5" t="n">
        <v>380.8</v>
      </c>
      <c r="K738" s="3" t="inlineStr">
        <is>
          <t>l S l 호탄리 l 1종일반주거 l 근생 건축 가능 l</t>
        </is>
      </c>
      <c r="L738" s="6">
        <f>HYPERLINK("https://fin.land.naver.com/articles/2656374755", "매물Link")</f>
        <v/>
      </c>
      <c r="M738" s="6">
        <f>HYPERLINK("https://map.naver.com/p/search/금남면 호탄리 152-7", "지도Link")</f>
        <v/>
      </c>
      <c r="N738" s="6">
        <f>HYPERLINK("http://www.eum.go.kr/web/ar/lu/luLandDet.jsp?pnu=3611034037101520007&amp;isNoScr=script&amp;mode=search", "토지이음")</f>
        <v/>
      </c>
      <c r="O738" s="3" t="inlineStr">
        <is>
          <t>에스</t>
        </is>
      </c>
      <c r="P738" s="4" t="n">
        <v>2</v>
      </c>
      <c r="Q738" s="4" t="n">
        <v>1157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152-8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55000</v>
      </c>
      <c r="G739" s="4" t="n">
        <v>264</v>
      </c>
      <c r="H739" s="4" t="n">
        <v>80</v>
      </c>
      <c r="I739" s="5" t="n">
        <v>687.5</v>
      </c>
      <c r="J739" s="5" t="n">
        <v>380.8</v>
      </c>
      <c r="K739" s="3" t="inlineStr">
        <is>
          <t>세종 남부권 접근 좋은 도로접 주거지역 소형토지</t>
        </is>
      </c>
      <c r="L739" s="6">
        <f>HYPERLINK("https://fin.land.naver.com/articles/2654354218", "매물Link")</f>
        <v/>
      </c>
      <c r="M739" s="6">
        <f>HYPERLINK("https://map.naver.com/p/search/금남면 호탄리 152-8", "지도Link")</f>
        <v/>
      </c>
      <c r="N739" s="6">
        <f>HYPERLINK("http://www.eum.go.kr/web/ar/lu/luLandDet.jsp?pnu=3611034037101520008&amp;isNoScr=script&amp;mode=search",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264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170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344</v>
      </c>
      <c r="H740" s="4" t="n">
        <v>104</v>
      </c>
      <c r="I740" s="5" t="n">
        <v>336.5</v>
      </c>
      <c r="J740" s="5" t="n">
        <v>242</v>
      </c>
      <c r="K740" s="3" t="inlineStr">
        <is>
          <t>세종시 인근 상권이 형성되기 시작하는 곳에 위치</t>
        </is>
      </c>
      <c r="L740" s="6">
        <f>HYPERLINK("https://fin.land.naver.com/articles/2652147883", "매물Link")</f>
        <v/>
      </c>
      <c r="M740" s="6">
        <f>HYPERLINK("https://map.naver.com/p/search/금남면 호탄리 170", "지도Link")</f>
        <v/>
      </c>
      <c r="N740" s="6">
        <f>HYPERLINK("http://www.eum.go.kr/web/ar/lu/luLandDet.jsp?pnu=3611034037101700000&amp;isNoScr=script&amp;mode=search", "토지이음")</f>
        <v/>
      </c>
      <c r="O740" s="3" t="inlineStr">
        <is>
          <t>해들일번지</t>
        </is>
      </c>
      <c r="P740" s="4" t="n">
        <v>1</v>
      </c>
      <c r="Q740" s="4" t="n">
        <v>344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세종 도심과 가까운 위치</t>
        </is>
      </c>
      <c r="L741" s="6">
        <f>HYPERLINK("https://fin.land.naver.com/articles/2652742966",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호탄리 마을 인근에 시멘트 포장도로 잘 접함</t>
        </is>
      </c>
      <c r="L742" s="6">
        <f>HYPERLINK("https://fin.land.naver.com/articles/2655510863",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신안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229-2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임야</t>
        </is>
      </c>
      <c r="E743" s="3" t="inlineStr">
        <is>
          <t>매매</t>
        </is>
      </c>
      <c r="F743" s="4" t="n">
        <v>250000</v>
      </c>
      <c r="G743" s="4" t="n">
        <v>5370</v>
      </c>
      <c r="H743" s="4" t="n">
        <v>1624</v>
      </c>
      <c r="I743" s="5" t="n">
        <v>153.9</v>
      </c>
      <c r="J743" s="5" t="n">
        <v>52.9</v>
      </c>
      <c r="K743" s="3" t="inlineStr">
        <is>
          <t>세종시 3생활권과 근접거리에 있어 향후 지가상승이 기대되는 급매물입니다</t>
        </is>
      </c>
      <c r="L743" s="6">
        <f>HYPERLINK("https://fin.land.naver.com/articles/2651937129", "매물Link")</f>
        <v/>
      </c>
      <c r="M743" s="6">
        <f>HYPERLINK("https://map.naver.com/p/search/금남면 호탄리 229-2", "지도Link")</f>
        <v/>
      </c>
      <c r="N743" s="6">
        <f>HYPERLINK("http://www.eum.go.kr/web/ar/lu/luLandDet.jsp?pnu=3611034037102290002&amp;isNoScr=script&amp;mode=search", "토지이음")</f>
        <v/>
      </c>
      <c r="O743" s="3" t="inlineStr">
        <is>
          <t>스마일세종</t>
        </is>
      </c>
      <c r="P743" s="4" t="n">
        <v>1</v>
      </c>
      <c r="Q743" s="4" t="n">
        <v>1693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HYPERLINK("https://fin.land.naver.com/articles/2656306684",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마을인근밭.6미터도로접.신도시지근거리지역.장기적투자관점.토지거래허가구역</t>
        </is>
      </c>
      <c r="L754" s="6">
        <f>HYPERLINK("https://fin.land.naver.com/articles/2654868475",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돈방석</t>
        </is>
      </c>
      <c r="P754" s="4" t="n">
        <v>3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HYPERLINK("https://fin.land.naver.com/articles/2656421005",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나성동 783</t>
        </is>
      </c>
      <c r="B772" s="3" t="inlineStr">
        <is>
          <t>중심상업지역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1300000</v>
      </c>
      <c r="G772" s="4" t="n">
        <v>1585</v>
      </c>
      <c r="H772" s="4" t="n">
        <v>479</v>
      </c>
      <c r="I772" s="5" t="n">
        <v>2714</v>
      </c>
      <c r="J772" s="5" t="n">
        <v>1544.8</v>
      </c>
      <c r="K772" s="3" t="inlineStr">
        <is>
          <t>상업지역 코너 각지 땅으로 가격 협의가능</t>
        </is>
      </c>
      <c r="L772" s="6">
        <f>HYPERLINK("https://fin.land.naver.com/articles/2650888480", "매물Link")</f>
        <v/>
      </c>
      <c r="M772" s="6">
        <f>HYPERLINK("https://map.naver.com/p/search/나성동 783", "지도Link")</f>
        <v/>
      </c>
      <c r="N772" s="6">
        <f>HYPERLINK("http://www.eum.go.kr/web/ar/lu/luLandDet.jsp?pnu=3611010700107830000&amp;isNoScr=script&amp;mode=search", "토지이음")</f>
        <v/>
      </c>
      <c r="O772" s="3" t="inlineStr">
        <is>
          <t>IPARK멘토</t>
        </is>
      </c>
      <c r="P772" s="4" t="n">
        <v>1</v>
      </c>
      <c r="Q772" s="4" t="n">
        <v>1585.2</v>
      </c>
      <c r="R772" s="3" t="inlineStr">
        <is>
          <t>지정되지않음</t>
        </is>
      </c>
      <c r="S772" s="3" t="inlineStr">
        <is>
          <t>상업나지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중로각지</t>
        </is>
      </c>
    </row>
    <row r="773">
      <c r="A773" s="3" t="inlineStr">
        <is>
          <t>남이면 가마리 146-1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전</t>
        </is>
      </c>
      <c r="E773" s="3" t="inlineStr">
        <is>
          <t>매매</t>
        </is>
      </c>
      <c r="F773" s="4" t="n">
        <v>300000</v>
      </c>
      <c r="G773" s="4" t="n">
        <v>3752</v>
      </c>
      <c r="H773" s="4" t="n">
        <v>1135</v>
      </c>
      <c r="I773" s="5" t="n">
        <v>264.3</v>
      </c>
      <c r="J773" s="5" t="n">
        <v>96.40000000000001</v>
      </c>
      <c r="K773" s="3" t="inlineStr">
        <is>
          <t>4차선접토지.산남동 아파트단지인근</t>
        </is>
      </c>
      <c r="L773" s="6">
        <f>HYPERLINK("https://fin.land.naver.com/articles/2654609968", "매물Link")</f>
        <v/>
      </c>
      <c r="M773" s="6">
        <f>HYPERLINK("https://map.naver.com/p/search/남이면 가마리 146-1", "지도Link")</f>
        <v/>
      </c>
      <c r="N773" s="6">
        <f>HYPERLINK("http://www.eum.go.kr/web/ar/lu/luLandDet.jsp?pnu=4311231038101460001&amp;isNoScr=script&amp;mode=search", "토지이음")</f>
        <v/>
      </c>
      <c r="O773" s="3" t="inlineStr">
        <is>
          <t>둥지</t>
        </is>
      </c>
      <c r="P773" s="4" t="n">
        <v>2</v>
      </c>
      <c r="Q773" s="4" t="n">
        <v>3352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가마리 148-1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105000</v>
      </c>
      <c r="G774" s="4" t="n">
        <v>866</v>
      </c>
      <c r="H774" s="4" t="n">
        <v>262</v>
      </c>
      <c r="I774" s="5" t="n">
        <v>400.8</v>
      </c>
      <c r="J774" s="5" t="n">
        <v>113.5</v>
      </c>
      <c r="K774" s="3" t="inlineStr">
        <is>
          <t>가마리 4차선 대로변 토지매매</t>
        </is>
      </c>
      <c r="L774" s="6">
        <f>HYPERLINK("https://fin.land.naver.com/articles/2651766992", "매물Link")</f>
        <v/>
      </c>
      <c r="M774" s="6">
        <f>HYPERLINK("https://map.naver.com/p/search/남이면 가마리 148-1", "지도Link")</f>
        <v/>
      </c>
      <c r="N774" s="6">
        <f>HYPERLINK("http://www.eum.go.kr/web/ar/lu/luLandDet.jsp?pnu=4311231038101480001&amp;isNoScr=script&amp;mode=search", "토지이음")</f>
        <v/>
      </c>
      <c r="O774" s="3" t="inlineStr">
        <is>
          <t>한아름</t>
        </is>
      </c>
      <c r="P774" s="4" t="n">
        <v>1</v>
      </c>
      <c r="Q774" s="4" t="n">
        <v>781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남이면 가마리 149-1</t>
        </is>
      </c>
      <c r="B775" s="3" t="inlineStr">
        <is>
          <t>자연녹지지역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220000</v>
      </c>
      <c r="G775" s="4" t="n">
        <v>2103</v>
      </c>
      <c r="H775" s="4" t="n">
        <v>636</v>
      </c>
      <c r="I775" s="5" t="n">
        <v>345.9</v>
      </c>
      <c r="J775" s="5" t="n">
        <v>168.3</v>
      </c>
      <c r="K775" s="3" t="inlineStr">
        <is>
          <t>현재 화훼농원이며 건물신축 최적지</t>
        </is>
      </c>
      <c r="L775" s="6">
        <f>HYPERLINK("https://fin.land.naver.com/articles/2653881055", "매물Link")</f>
        <v/>
      </c>
      <c r="M775" s="6">
        <f>HYPERLINK("https://map.naver.com/p/search/남이면 가마리 149-1", "지도Link")</f>
        <v/>
      </c>
      <c r="N775" s="6">
        <f>HYPERLINK("http://www.eum.go.kr/web/ar/lu/luLandDet.jsp?pnu=4311231038101490001&amp;isNoScr=script&amp;mode=search", "토지이음")</f>
        <v/>
      </c>
      <c r="O775" s="3" t="inlineStr">
        <is>
          <t>산들</t>
        </is>
      </c>
      <c r="P775" s="4" t="n">
        <v>1</v>
      </c>
      <c r="Q775" s="4" t="n">
        <v>645</v>
      </c>
      <c r="R775" s="3" t="inlineStr">
        <is>
          <t>지정되지않음</t>
        </is>
      </c>
      <c r="S775" s="3" t="inlineStr">
        <is>
          <t>상업용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남이면 가마리 156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250000</v>
      </c>
      <c r="G776" s="4" t="n">
        <v>5481</v>
      </c>
      <c r="H776" s="4" t="n">
        <v>1658</v>
      </c>
      <c r="I776" s="5" t="n">
        <v>150.8</v>
      </c>
      <c r="J776" s="5" t="n">
        <v>69.3</v>
      </c>
      <c r="K776" s="3" t="inlineStr">
        <is>
          <t>남이면 가마리에 위치한 토지 매매</t>
        </is>
      </c>
      <c r="L776" s="6">
        <f>HYPERLINK("https://fin.land.naver.com/articles/2651761333", "매물Link")</f>
        <v/>
      </c>
      <c r="M776" s="6">
        <f>HYPERLINK("https://map.naver.com/p/search/남이면 가마리 156", "지도Link")</f>
        <v/>
      </c>
      <c r="N776" s="6">
        <f>HYPERLINK("http://www.eum.go.kr/web/ar/lu/luLandDet.jsp?pnu=4311231038101560000&amp;isNoScr=script&amp;mode=search",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대</t>
        </is>
      </c>
      <c r="E777" s="3" t="inlineStr">
        <is>
          <t>매매</t>
        </is>
      </c>
      <c r="F777" s="4" t="n">
        <v>67000</v>
      </c>
      <c r="G777" s="4" t="n">
        <v>1124</v>
      </c>
      <c r="H777" s="4" t="n">
        <v>340</v>
      </c>
      <c r="I777" s="5" t="n">
        <v>197.1</v>
      </c>
      <c r="J777" s="5" t="n">
        <v>58.5</v>
      </c>
      <c r="K777" s="3" t="inlineStr">
        <is>
          <t>남이면 2순환로 인근, 토목완료, 2종근생가능, 제조업 창고 건축 용도</t>
        </is>
      </c>
      <c r="L777" s="6">
        <f>HYPERLINK("https://fin.land.naver.com/articles/2655500949",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160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67000</v>
      </c>
      <c r="G778" s="4" t="n">
        <v>1104</v>
      </c>
      <c r="H778" s="4" t="n">
        <v>334</v>
      </c>
      <c r="I778" s="5" t="n">
        <v>200.6</v>
      </c>
      <c r="J778" s="5" t="n">
        <v>58.5</v>
      </c>
      <c r="K778" s="3" t="inlineStr">
        <is>
          <t>사진 有, 토목공사 일부 완료된 공장용지 334형 매매</t>
        </is>
      </c>
      <c r="L778" s="6">
        <f>HYPERLINK("https://fin.land.naver.com/articles/2651813817", "매물Link")</f>
        <v/>
      </c>
      <c r="M778" s="6">
        <f>HYPERLINK("https://map.naver.com/p/search/남이면 가마리 160", "지도Link")</f>
        <v/>
      </c>
      <c r="N778" s="6">
        <f>HYPERLINK("http://www.eum.go.kr/web/ar/lu/luLandDet.jsp?pnu=4311231038101600000&amp;isNoScr=script&amp;mode=search", "토지이음")</f>
        <v/>
      </c>
      <c r="O778" s="3" t="inlineStr">
        <is>
          <t>태성</t>
        </is>
      </c>
      <c r="P778" s="4" t="n">
        <v>1</v>
      </c>
      <c r="Q778" s="4" t="n">
        <v>2787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가마리 168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48000</v>
      </c>
      <c r="G779" s="4" t="n">
        <v>1223</v>
      </c>
      <c r="H779" s="4" t="n">
        <v>370</v>
      </c>
      <c r="I779" s="5" t="n">
        <v>129.7</v>
      </c>
      <c r="J779" s="5" t="n">
        <v>46.8</v>
      </c>
      <c r="K779" s="3" t="inlineStr">
        <is>
          <t>자연녹지, 가마리 경지좋고 공기 좋아요, 주말농장으로 강추입니다.</t>
        </is>
      </c>
      <c r="L779" s="6">
        <f>HYPERLINK("https://fin.land.naver.com/articles/2654786841", "매물Link")</f>
        <v/>
      </c>
      <c r="M779" s="6">
        <f>HYPERLINK("https://map.naver.com/p/search/남이면 가마리 168", "지도Link")</f>
        <v/>
      </c>
      <c r="N779" s="6">
        <f>HYPERLINK("http://www.eum.go.kr/web/ar/lu/luLandDet.jsp?pnu=4311231038101680000&amp;isNoScr=script&amp;mode=search", "토지이음")</f>
        <v/>
      </c>
      <c r="O779" s="3" t="inlineStr">
        <is>
          <t>지웰사랑합동사무소</t>
        </is>
      </c>
      <c r="P779" s="4" t="n">
        <v>1</v>
      </c>
      <c r="Q779" s="4" t="n">
        <v>1223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168-3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47250</v>
      </c>
      <c r="G780" s="4" t="n">
        <v>1041</v>
      </c>
      <c r="H780" s="4" t="n">
        <v>315</v>
      </c>
      <c r="I780" s="5" t="n">
        <v>150</v>
      </c>
      <c r="J780" s="5" t="n">
        <v>46.8</v>
      </c>
      <c r="K780" s="3" t="inlineStr">
        <is>
          <t>투자용 농지로 추천드리며,도로접해있고 옆에 개울도 있습니다</t>
        </is>
      </c>
      <c r="L780" s="6">
        <f>HYPERLINK("https://fin.land.naver.com/articles/2653080924", "매물Link")</f>
        <v/>
      </c>
      <c r="M780" s="6">
        <f>HYPERLINK("https://map.naver.com/p/search/남이면 가마리 168-3", "지도Link")</f>
        <v/>
      </c>
      <c r="N780" s="6">
        <f>HYPERLINK("http://www.eum.go.kr/web/ar/lu/luLandDet.jsp?pnu=4311231038101680003&amp;isNoScr=script&amp;mode=search", "토지이음")</f>
        <v/>
      </c>
      <c r="O780" s="3" t="inlineStr">
        <is>
          <t>대성합동사무소</t>
        </is>
      </c>
      <c r="P780" s="4" t="n">
        <v>1</v>
      </c>
      <c r="Q780" s="4" t="n">
        <v>1041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가마리 180-2</t>
        </is>
      </c>
      <c r="B781" s="3" t="inlineStr">
        <is>
          <t>자연녹지지역</t>
        </is>
      </c>
      <c r="C781" s="3" t="inlineStr">
        <is>
          <t>답</t>
        </is>
      </c>
      <c r="D781" s="3" t="inlineStr">
        <is>
          <t>전</t>
        </is>
      </c>
      <c r="E781" s="3" t="inlineStr">
        <is>
          <t>매매</t>
        </is>
      </c>
      <c r="F781" s="4" t="n">
        <v>49100</v>
      </c>
      <c r="G781" s="4" t="n">
        <v>2701</v>
      </c>
      <c r="H781" s="4" t="n">
        <v>817</v>
      </c>
      <c r="I781" s="5" t="n">
        <v>60.1</v>
      </c>
      <c r="J781" s="5" t="n">
        <v>48.1</v>
      </c>
      <c r="K781" s="3" t="inlineStr">
        <is>
          <t>진입도로 있어  경작하기 좋습니다.</t>
        </is>
      </c>
      <c r="L781" s="6">
        <f>HYPERLINK("https://fin.land.naver.com/articles/2653260647", "매물Link")</f>
        <v/>
      </c>
      <c r="M781" s="6">
        <f>HYPERLINK("https://map.naver.com/p/search/남이면 가마리 180-2", "지도Link")</f>
        <v/>
      </c>
      <c r="N781" s="6">
        <f>HYPERLINK("http://www.eum.go.kr/web/ar/lu/luLandDet.jsp?pnu=4311231038101800002&amp;isNoScr=script&amp;mode=search", "토지이음")</f>
        <v/>
      </c>
      <c r="O781" s="3" t="inlineStr">
        <is>
          <t>파트너아이파크</t>
        </is>
      </c>
      <c r="P781" s="4" t="n">
        <v>1</v>
      </c>
      <c r="Q781" s="4" t="n">
        <v>2701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가마리 182-7</t>
        </is>
      </c>
      <c r="B782" s="3" t="inlineStr">
        <is>
          <t>보전녹지지역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34000</v>
      </c>
      <c r="G782" s="4" t="n">
        <v>1421</v>
      </c>
      <c r="H782" s="4" t="n">
        <v>430</v>
      </c>
      <c r="I782" s="5" t="n">
        <v>79.09999999999999</v>
      </c>
      <c r="J782" s="5" t="n">
        <v>26.1</v>
      </c>
      <c r="K782" s="3" t="inlineStr">
        <is>
          <t>가마리 경치좋고 저렴한 밭입니다.</t>
        </is>
      </c>
      <c r="L782" s="6">
        <f>HYPERLINK("https://fin.land.naver.com/articles/2656267707", "매물Link")</f>
        <v/>
      </c>
      <c r="M782" s="6">
        <f>HYPERLINK("https://map.naver.com/p/search/남이면 가마리 182-7", "지도Link")</f>
        <v/>
      </c>
      <c r="N782" s="6">
        <f>HYPERLINK("http://www.eum.go.kr/web/ar/lu/luLandDet.jsp?pnu=4311231038101820007&amp;isNoScr=script&amp;mode=search", "토지이음")</f>
        <v/>
      </c>
      <c r="O782" s="3" t="inlineStr">
        <is>
          <t>산내들</t>
        </is>
      </c>
      <c r="P782" s="4" t="n">
        <v>1</v>
      </c>
      <c r="Q782" s="4" t="n">
        <v>1256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가마리 190-1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107360</v>
      </c>
      <c r="G783" s="4" t="n">
        <v>4436</v>
      </c>
      <c r="H783" s="4" t="n">
        <v>1342</v>
      </c>
      <c r="I783" s="5" t="n">
        <v>80</v>
      </c>
      <c r="J783" s="5" t="n">
        <v>41.8</v>
      </c>
      <c r="K783" s="3" t="inlineStr">
        <is>
          <t>양촌jc 인근 시세보다 저렴한 투자용 토지</t>
        </is>
      </c>
      <c r="L783" s="6">
        <f>HYPERLINK("https://fin.land.naver.com/articles/2654622382", "매물Link")</f>
        <v/>
      </c>
      <c r="M783" s="6">
        <f>HYPERLINK("https://map.naver.com/p/search/남이면 가마리 190-1", "지도Link")</f>
        <v/>
      </c>
      <c r="N783" s="6">
        <f>HYPERLINK("http://www.eum.go.kr/web/ar/lu/luLandDet.jsp?pnu=4311231038101900001&amp;isNoScr=script&amp;mode=search", "토지이음")</f>
        <v/>
      </c>
      <c r="O783" s="3" t="inlineStr">
        <is>
          <t>토담</t>
        </is>
      </c>
      <c r="P783" s="4" t="n">
        <v>1</v>
      </c>
      <c r="Q783" s="4" t="n">
        <v>1355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234-2</t>
        </is>
      </c>
      <c r="B784" s="3" t="inlineStr">
        <is>
          <t>자연녹지지역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115000</v>
      </c>
      <c r="G784" s="4" t="n">
        <v>1061</v>
      </c>
      <c r="H784" s="4" t="n">
        <v>321</v>
      </c>
      <c r="I784" s="5" t="n">
        <v>358.3</v>
      </c>
      <c r="J784" s="5" t="n">
        <v>74.2</v>
      </c>
      <c r="K784" s="3" t="inlineStr">
        <is>
          <t>2차우회도로접   상가  근생용지</t>
        </is>
      </c>
      <c r="L784" s="6">
        <f>HYPERLINK("https://fin.land.naver.com/articles/2652150694", "매물Link")</f>
        <v/>
      </c>
      <c r="M784" s="6">
        <f>HYPERLINK("https://map.naver.com/p/search/남이면 가마리 234-2", "지도Link")</f>
        <v/>
      </c>
      <c r="N784" s="6">
        <f>HYPERLINK("http://www.eum.go.kr/web/ar/lu/luLandDet.jsp?pnu=4311231038102340002&amp;isNoScr=script&amp;mode=search",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476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가마리 235-5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55000</v>
      </c>
      <c r="G785" s="4" t="n">
        <v>585</v>
      </c>
      <c r="H785" s="4" t="n">
        <v>177</v>
      </c>
      <c r="I785" s="5" t="n">
        <v>310.7</v>
      </c>
      <c r="J785" s="5" t="n">
        <v>102.4</v>
      </c>
      <c r="K785" s="3" t="inlineStr">
        <is>
          <t>nan</t>
        </is>
      </c>
      <c r="L785" s="6">
        <f>HYPERLINK("https://fin.land.naver.com/articles/2651710388", "매물Link")</f>
        <v/>
      </c>
      <c r="M785" s="6">
        <f>HYPERLINK("https://map.naver.com/p/search/남이면 가마리 235-5", "지도Link")</f>
        <v/>
      </c>
      <c r="N785" s="6">
        <f>HYPERLINK("http://www.eum.go.kr/web/ar/lu/luLandDet.jsp?pnu=4311231038102350005&amp;isNoScr=script&amp;mode=search", "토지이음")</f>
        <v/>
      </c>
      <c r="O785" s="3" t="inlineStr">
        <is>
          <t>대길</t>
        </is>
      </c>
      <c r="P785" s="4" t="n">
        <v>1</v>
      </c>
      <c r="Q785" s="4" t="n">
        <v>355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광대로한면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최근 개발되고 있는 신분평지구인근으로 다양한 용도 가능한 귀한매물</t>
        </is>
      </c>
      <c r="L786" s="6">
        <f>HYPERLINK("https://fin.land.naver.com/articles/2655209726",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청주원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24-2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230000</v>
      </c>
      <c r="G788" s="4" t="n">
        <v>1293</v>
      </c>
      <c r="H788" s="4" t="n">
        <v>391</v>
      </c>
      <c r="I788" s="5" t="n">
        <v>588.2</v>
      </c>
      <c r="J788" s="5" t="n">
        <v>100.9</v>
      </c>
      <c r="K788" s="3" t="inlineStr">
        <is>
          <t>가마리 가마교차로인근 6차선도로변접 대로변에 길게 접함</t>
        </is>
      </c>
      <c r="L788" s="6">
        <f>HYPERLINK("https://fin.land.naver.com/articles/2651209994", "매물Link")</f>
        <v/>
      </c>
      <c r="M788" s="6">
        <f>HYPERLINK("https://map.naver.com/p/search/남이면 가마리 24-2", "지도Link")</f>
        <v/>
      </c>
      <c r="N788" s="6">
        <f>HYPERLINK("http://www.eum.go.kr/web/ar/lu/luLandDet.jsp?pnu=4311231038100240002&amp;isNoScr=script&amp;mode=search", "토지이음")</f>
        <v/>
      </c>
      <c r="O788" s="3" t="inlineStr">
        <is>
          <t>프라임</t>
        </is>
      </c>
      <c r="P788" s="4" t="n">
        <v>1</v>
      </c>
      <c r="Q788" s="4" t="n">
        <v>1054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중로한면</t>
        </is>
      </c>
    </row>
    <row r="789">
      <c r="A789" s="3" t="inlineStr">
        <is>
          <t>남이면 가마리 245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322000</v>
      </c>
      <c r="G789" s="4" t="n">
        <v>3576</v>
      </c>
      <c r="H789" s="4" t="n">
        <v>1082</v>
      </c>
      <c r="I789" s="5" t="n">
        <v>297.6</v>
      </c>
      <c r="J789" s="5" t="n">
        <v>69.09999999999999</v>
      </c>
      <c r="K789" s="3" t="inlineStr">
        <is>
          <t>신설4차선접  2종근생허가득</t>
        </is>
      </c>
      <c r="L789" s="6">
        <f>HYPERLINK("https://fin.land.naver.com/articles/2652151003", "매물Link")</f>
        <v/>
      </c>
      <c r="M789" s="6">
        <f>HYPERLINK("https://map.naver.com/p/search/남이면 가마리 245", "지도Link")</f>
        <v/>
      </c>
      <c r="N789" s="6">
        <f>HYPERLINK("http://www.eum.go.kr/web/ar/lu/luLandDet.jsp?pnu=4311231038102450000&amp;isNoScr=script&amp;mode=search",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1102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246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전</t>
        </is>
      </c>
      <c r="E790" s="3" t="inlineStr">
        <is>
          <t>매매</t>
        </is>
      </c>
      <c r="F790" s="4" t="n">
        <v>260000</v>
      </c>
      <c r="G790" s="4" t="n">
        <v>2475</v>
      </c>
      <c r="H790" s="4" t="n">
        <v>749</v>
      </c>
      <c r="I790" s="5" t="n">
        <v>347.1</v>
      </c>
      <c r="J790" s="5" t="n">
        <v>69.09999999999999</v>
      </c>
      <c r="K790" s="3" t="inlineStr">
        <is>
          <t>신설4차선접, 2종근생허가득,토목완료</t>
        </is>
      </c>
      <c r="L790" s="6">
        <f>HYPERLINK("https://fin.land.naver.com/articles/2652150872", "매물Link")</f>
        <v/>
      </c>
      <c r="M790" s="6">
        <f>HYPERLINK("https://map.naver.com/p/search/남이면 가마리 246", "지도Link")</f>
        <v/>
      </c>
      <c r="N790" s="6">
        <f>HYPERLINK("http://www.eum.go.kr/web/ar/lu/luLandDet.jsp?pnu=4311231038102460000&amp;isNoScr=script&amp;mode=search", "토지이음")</f>
        <v/>
      </c>
      <c r="O790" s="3" t="inlineStr">
        <is>
          <t>대길</t>
        </is>
      </c>
      <c r="P790" s="4" t="n">
        <v>1</v>
      </c>
      <c r="Q790" s="4" t="n">
        <v>1222.2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남이면 가마리 264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105000</v>
      </c>
      <c r="G791" s="4" t="n">
        <v>1739</v>
      </c>
      <c r="H791" s="4" t="n">
        <v>526</v>
      </c>
      <c r="I791" s="5" t="n">
        <v>199.6</v>
      </c>
      <c r="J791" s="5" t="n">
        <v>58.5</v>
      </c>
      <c r="K791" s="3" t="inlineStr">
        <is>
          <t>nan</t>
        </is>
      </c>
      <c r="L791" s="6">
        <f>HYPERLINK("https://fin.land.naver.com/articles/2651061295", "매물Link")</f>
        <v/>
      </c>
      <c r="M791" s="6">
        <f>HYPERLINK("https://map.naver.com/p/search/남이면 가마리 264", "지도Link")</f>
        <v/>
      </c>
      <c r="N791" s="6">
        <f>HYPERLINK("http://www.eum.go.kr/web/ar/lu/luLandDet.jsp?pnu=4311231038102640000&amp;isNoScr=script&amp;mode=search", "토지이음")</f>
        <v/>
      </c>
      <c r="O791" s="3" t="inlineStr">
        <is>
          <t>행복도시</t>
        </is>
      </c>
      <c r="P791" s="4" t="n">
        <v>1</v>
      </c>
      <c r="Q791" s="4" t="n">
        <v>1343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296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31200</v>
      </c>
      <c r="G792" s="4" t="n">
        <v>863</v>
      </c>
      <c r="H792" s="4" t="n">
        <v>261</v>
      </c>
      <c r="I792" s="5" t="n">
        <v>119.5</v>
      </c>
      <c r="J792" s="5" t="n">
        <v>34.9</v>
      </c>
      <c r="K792" s="3" t="inlineStr">
        <is>
          <t>도심 가까운 최고의 입지, 자연녹지, 취락지구, 제2순환도로 인접</t>
        </is>
      </c>
      <c r="L792" s="6">
        <f>HYPERLINK("https://fin.land.naver.com/articles/2654786142", "매물Link")</f>
        <v/>
      </c>
      <c r="M792" s="6">
        <f>HYPERLINK("https://map.naver.com/p/search/남이면 가마리 296", "지도Link")</f>
        <v/>
      </c>
      <c r="N792" s="6">
        <f>HYPERLINK("http://www.eum.go.kr/web/ar/lu/luLandDet.jsp?pnu=4311231038102960000&amp;isNoScr=script&amp;mode=search",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863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301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290000</v>
      </c>
      <c r="G793" s="4" t="n">
        <v>4720</v>
      </c>
      <c r="H793" s="4" t="n">
        <v>1428</v>
      </c>
      <c r="I793" s="5" t="n">
        <v>203.1</v>
      </c>
      <c r="J793" s="5" t="n">
        <v>59.7</v>
      </c>
      <c r="K793" s="3" t="inlineStr">
        <is>
          <t>제2순환로에서 250미터 인접한  자연녹지,자연취락지구</t>
        </is>
      </c>
      <c r="L793" s="6">
        <f>HYPERLINK("https://fin.land.naver.com/articles/2650856471", "매물Link")</f>
        <v/>
      </c>
      <c r="M793" s="6">
        <f>HYPERLINK("https://map.naver.com/p/search/남이면 가마리 301", "지도Link")</f>
        <v/>
      </c>
      <c r="N793" s="6">
        <f>HYPERLINK("http://www.eum.go.kr/web/ar/lu/luLandDet.jsp?pnu=4311231038103010000&amp;isNoScr=script&amp;mode=search", "토지이음")</f>
        <v/>
      </c>
      <c r="O793" s="3" t="inlineStr">
        <is>
          <t>강산</t>
        </is>
      </c>
      <c r="P793" s="4" t="n">
        <v>1</v>
      </c>
      <c r="Q793" s="4" t="n">
        <v>4720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104850</v>
      </c>
      <c r="G794" s="4" t="n">
        <v>2310</v>
      </c>
      <c r="H794" s="4" t="n">
        <v>699</v>
      </c>
      <c r="I794" s="5" t="n">
        <v>150</v>
      </c>
      <c r="J794" s="5" t="n">
        <v>98.09999999999999</v>
      </c>
      <c r="K794" s="3" t="inlineStr">
        <is>
          <t>양촌jc에서 반경1.6km이내 풀스윙배팅센터 인근 조용한곳</t>
        </is>
      </c>
      <c r="L794" s="6">
        <f>HYPERLINK("https://fin.land.naver.com/articles/2651484070",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윤슬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338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68502</v>
      </c>
      <c r="G795" s="4" t="n">
        <v>2311</v>
      </c>
      <c r="H795" s="4" t="n">
        <v>699</v>
      </c>
      <c r="I795" s="5" t="n">
        <v>98</v>
      </c>
      <c r="J795" s="5" t="n">
        <v>98.09999999999999</v>
      </c>
      <c r="K795" s="3" t="inlineStr">
        <is>
          <t>가마리 자연취락지구, 대지</t>
        </is>
      </c>
      <c r="L795" s="6">
        <f>HYPERLINK("https://fin.land.naver.com/articles/2654622248", "매물Link")</f>
        <v/>
      </c>
      <c r="M795" s="6">
        <f>HYPERLINK("https://map.naver.com/p/search/남이면 가마리 338", "지도Link")</f>
        <v/>
      </c>
      <c r="N795" s="6">
        <f>HYPERLINK("http://www.eum.go.kr/web/ar/lu/luLandDet.jsp?pnu=4311231038103380000&amp;isNoScr=script&amp;mode=search",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2311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자루형</t>
        </is>
      </c>
      <c r="V795" s="3" t="inlineStr">
        <is>
          <t>세로한면(가)</t>
        </is>
      </c>
    </row>
    <row r="796">
      <c r="A796" s="3" t="inlineStr">
        <is>
          <t>남이면 가마리 342-2</t>
        </is>
      </c>
      <c r="B796" s="3" t="inlineStr">
        <is>
          <t>자연녹지지역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1288</v>
      </c>
      <c r="H796" s="4" t="n">
        <v>390</v>
      </c>
      <c r="I796" s="5" t="n">
        <v>153.8</v>
      </c>
      <c r="J796" s="5" t="n">
        <v>88.2</v>
      </c>
      <c r="K796" s="3" t="inlineStr">
        <is>
          <t>2순환로 접근성 좋은 토지매매</t>
        </is>
      </c>
      <c r="L796" s="6">
        <f>HYPERLINK("https://fin.land.naver.com/articles/2651121463", "매물Link")</f>
        <v/>
      </c>
      <c r="M796" s="6">
        <f>HYPERLINK("https://map.naver.com/p/search/남이면 가마리 342-2", "지도Link")</f>
        <v/>
      </c>
      <c r="N796" s="6">
        <f>HYPERLINK("http://www.eum.go.kr/web/ar/lu/luLandDet.jsp?pnu=4311231038103420002&amp;isNoScr=script&amp;mode=search", "토지이음")</f>
        <v/>
      </c>
      <c r="O796" s="3" t="inlineStr">
        <is>
          <t>원탑</t>
        </is>
      </c>
      <c r="P796" s="4" t="n">
        <v>1</v>
      </c>
      <c r="Q796" s="4" t="n">
        <v>1288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산6-2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40000</v>
      </c>
      <c r="G797" s="4" t="n">
        <v>661</v>
      </c>
      <c r="H797" s="4" t="n">
        <v>200</v>
      </c>
      <c r="I797" s="5" t="n">
        <v>200</v>
      </c>
      <c r="J797" s="5" t="n">
        <v>57.1</v>
      </c>
      <c r="K797" s="3" t="inlineStr">
        <is>
          <t>nan</t>
        </is>
      </c>
      <c r="L797" s="6">
        <f>HYPERLINK("https://fin.land.naver.com/articles/2655753646", "매물Link")</f>
        <v/>
      </c>
      <c r="M797" s="6">
        <f>HYPERLINK("https://map.naver.com/p/search/남이면 가마리 산6-2", "지도Link")</f>
        <v/>
      </c>
      <c r="N797" s="6">
        <f>HYPERLINK("http://www.eum.go.kr/web/ar/lu/luLandDet.jsp?pnu=4311231038200060002&amp;isNoScr=script&amp;mode=search", "토지이음")</f>
        <v/>
      </c>
      <c r="O797" s="3" t="inlineStr">
        <is>
          <t>일등</t>
        </is>
      </c>
      <c r="P797" s="4" t="n">
        <v>1</v>
      </c>
      <c r="Q797" s="4" t="n">
        <v>1065</v>
      </c>
      <c r="R797" s="3" t="inlineStr">
        <is>
          <t>자연녹지지역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가마리 산6-7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29750</v>
      </c>
      <c r="G799" s="4" t="n">
        <v>578</v>
      </c>
      <c r="H799" s="4" t="n">
        <v>175</v>
      </c>
      <c r="I799" s="5" t="n">
        <v>170</v>
      </c>
      <c r="J799" s="5" t="n">
        <v>50.9</v>
      </c>
      <c r="K799" s="3" t="inlineStr">
        <is>
          <t>건축허가및 토목이 완료된 전원주택지</t>
        </is>
      </c>
      <c r="L799" s="6">
        <f>HYPERLINK("https://fin.land.naver.com/articles/2655098316", "매물Link")</f>
        <v/>
      </c>
      <c r="M799" s="6">
        <f>HYPERLINK("https://map.naver.com/p/search/남이면 가마리 산6-7", "지도Link")</f>
        <v/>
      </c>
      <c r="N799" s="6">
        <f>HYPERLINK("http://www.eum.go.kr/web/ar/lu/luLandDet.jsp?pnu=4311231038200060007&amp;isNoScr=script&amp;mode=search", "토지이음")</f>
        <v/>
      </c>
      <c r="O799" s="3" t="inlineStr">
        <is>
          <t>플러스태양</t>
        </is>
      </c>
      <c r="P799" s="4" t="n">
        <v>1</v>
      </c>
      <c r="Q799" s="4" t="n">
        <v>533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세로각지(가)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129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37000</v>
      </c>
      <c r="G801" s="4" t="n">
        <v>1170</v>
      </c>
      <c r="H801" s="4" t="n">
        <v>354</v>
      </c>
      <c r="I801" s="5" t="n">
        <v>104.5</v>
      </c>
      <c r="J801" s="5" t="n">
        <v>26.8</v>
      </c>
      <c r="K801" s="3" t="inlineStr">
        <is>
          <t>시내 인접토지.창고, 공장. 주말농장</t>
        </is>
      </c>
      <c r="L801" s="6">
        <f>HYPERLINK("https://fin.land.naver.com/articles/2653502250", "매물Link")</f>
        <v/>
      </c>
      <c r="M801" s="6">
        <f>HYPERLINK("https://map.naver.com/p/search/남이면 가좌리 129", "지도Link")</f>
        <v/>
      </c>
      <c r="N801" s="6">
        <f>HYPERLINK("http://www.eum.go.kr/web/ar/lu/luLandDet.jsp?pnu=4311231036101290000&amp;isNoScr=script&amp;mode=search", "토지이음")</f>
        <v/>
      </c>
      <c r="O801" s="3" t="inlineStr">
        <is>
          <t>둥지</t>
        </is>
      </c>
      <c r="P801" s="4" t="n">
        <v>1</v>
      </c>
      <c r="Q801" s="4" t="n">
        <v>1092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134-49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120000</v>
      </c>
      <c r="G802" s="4" t="n">
        <v>6357</v>
      </c>
      <c r="H802" s="4" t="n">
        <v>1923</v>
      </c>
      <c r="I802" s="5" t="n">
        <v>62.4</v>
      </c>
      <c r="J802" s="5" t="n">
        <v>25.4</v>
      </c>
      <c r="K802" s="3" t="inlineStr">
        <is>
          <t>17번 국도 가까운 부지(급매)</t>
        </is>
      </c>
      <c r="L802" s="6">
        <f>HYPERLINK("https://fin.land.naver.com/articles/2651877519", "매물Link")</f>
        <v/>
      </c>
      <c r="M802" s="6">
        <f>HYPERLINK("https://map.naver.com/p/search/남이면 가좌리 134-49", "지도Link")</f>
        <v/>
      </c>
      <c r="N802" s="6">
        <f>HYPERLINK("http://www.eum.go.kr/web/ar/lu/luLandDet.jsp?pnu=4311231036101340049&amp;isNoScr=script&amp;mode=search",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1953</v>
      </c>
      <c r="R802" s="3" t="inlineStr">
        <is>
          <t>자연녹지지역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134-49</t>
        </is>
      </c>
      <c r="B803" s="3" t="inlineStr">
        <is>
          <t>보전녹지지역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120000</v>
      </c>
      <c r="G803" s="4" t="n">
        <v>6358</v>
      </c>
      <c r="H803" s="4" t="n">
        <v>1923</v>
      </c>
      <c r="I803" s="5" t="n">
        <v>62.4</v>
      </c>
      <c r="J803" s="5" t="n">
        <v>25.4</v>
      </c>
      <c r="K803" s="3" t="inlineStr">
        <is>
          <t>가좌리에 위치한 전원주택지 토지 급매</t>
        </is>
      </c>
      <c r="L803" s="6">
        <f>HYPERLINK("https://fin.land.naver.com/articles/2656162828", "매물Link")</f>
        <v/>
      </c>
      <c r="M803" s="6">
        <f>HYPERLINK("https://map.naver.com/p/search/남이면 가좌리 134-49", "지도Link")</f>
        <v/>
      </c>
      <c r="N803" s="6">
        <f>HYPERLINK("http://www.eum.go.kr/web/ar/lu/luLandDet.jsp?pnu=4311231036101340049&amp;isNoScr=script&amp;mode=search", "토지이음")</f>
        <v/>
      </c>
      <c r="O803" s="3" t="inlineStr">
        <is>
          <t>대지</t>
        </is>
      </c>
      <c r="P803" s="4" t="n">
        <v>1</v>
      </c>
      <c r="Q803" s="4" t="n">
        <v>1953</v>
      </c>
      <c r="R803" s="3" t="inlineStr">
        <is>
          <t>자연녹지지역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191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64000</v>
      </c>
      <c r="G804" s="4" t="n">
        <v>1514</v>
      </c>
      <c r="H804" s="4" t="n">
        <v>458</v>
      </c>
      <c r="I804" s="5" t="n">
        <v>139.7</v>
      </c>
      <c r="J804" s="5" t="n">
        <v>34.5</v>
      </c>
      <c r="K804" s="3" t="inlineStr">
        <is>
          <t>남청주 IC 10분, 2차선 도로변, 성토 완료 공장창고 최적지</t>
        </is>
      </c>
      <c r="L804" s="6">
        <f>HYPERLINK("https://fin.land.naver.com/articles/2652919050", "매물Link")</f>
        <v/>
      </c>
      <c r="M804" s="6">
        <f>HYPERLINK("https://map.naver.com/p/search/남이면 가좌리 191", "지도Link")</f>
        <v/>
      </c>
      <c r="N804" s="6">
        <f>HYPERLINK("http://www.eum.go.kr/web/ar/lu/luLandDet.jsp?pnu=4311231036101910000&amp;isNoScr=script&amp;mode=search", "토지이음")</f>
        <v/>
      </c>
      <c r="O804" s="3" t="inlineStr">
        <is>
          <t>대성오투그란데</t>
        </is>
      </c>
      <c r="P804" s="4" t="n">
        <v>1</v>
      </c>
      <c r="Q804" s="4" t="n">
        <v>1514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남이면 가좌리 191-2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98500</v>
      </c>
      <c r="G805" s="4" t="n">
        <v>993</v>
      </c>
      <c r="H805" s="4" t="n">
        <v>300</v>
      </c>
      <c r="I805" s="5" t="n">
        <v>328.3</v>
      </c>
      <c r="J805" s="5" t="n">
        <v>34.5</v>
      </c>
      <c r="K805" s="3" t="inlineStr">
        <is>
          <t>2차선 도로 접한 물류창고 최적 입지, 남청주IC 10분,</t>
        </is>
      </c>
      <c r="L805" s="6">
        <f>HYPERLINK("https://fin.land.naver.com/articles/2656376312", "매물Link")</f>
        <v/>
      </c>
      <c r="M805" s="6">
        <f>HYPERLINK("https://map.naver.com/p/search/남이면 가좌리 191-2", "지도Link")</f>
        <v/>
      </c>
      <c r="N805" s="6">
        <f>HYPERLINK("http://www.eum.go.kr/web/ar/lu/luLandDet.jsp?pnu=4311231036101910002&amp;isNoScr=script&amp;mode=search", "토지이음")</f>
        <v/>
      </c>
      <c r="O805" s="3" t="inlineStr">
        <is>
          <t>대성오투그란데</t>
        </is>
      </c>
      <c r="P805" s="4" t="n">
        <v>1</v>
      </c>
      <c r="Q805" s="4" t="n">
        <v>993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가좌리 219-1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55000</v>
      </c>
      <c r="G806" s="4" t="n">
        <v>2922</v>
      </c>
      <c r="H806" s="4" t="n">
        <v>884</v>
      </c>
      <c r="I806" s="5" t="n">
        <v>62.2</v>
      </c>
      <c r="J806" s="5" t="n">
        <v>25.9</v>
      </c>
      <c r="K806" s="3" t="inlineStr">
        <is>
          <t>전원주택, 창고용지,미래가치,도시지역</t>
        </is>
      </c>
      <c r="L806" s="6">
        <f>HYPERLINK("https://fin.land.naver.com/articles/2653495797", "매물Link")</f>
        <v/>
      </c>
      <c r="M806" s="6">
        <f>HYPERLINK("https://map.naver.com/p/search/남이면 가좌리 219-1", "지도Link")</f>
        <v/>
      </c>
      <c r="N806" s="6">
        <f>HYPERLINK("http://www.eum.go.kr/web/ar/lu/luLandDet.jsp?pnu=4311231036102190001&amp;isNoScr=script&amp;mode=search", "토지이음")</f>
        <v/>
      </c>
      <c r="O806" s="3" t="inlineStr">
        <is>
          <t>이박사</t>
        </is>
      </c>
      <c r="P806" s="4" t="n">
        <v>1</v>
      </c>
      <c r="Q806" s="4" t="n">
        <v>2922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가좌리 223-160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11000</v>
      </c>
      <c r="G807" s="4" t="n">
        <v>454</v>
      </c>
      <c r="H807" s="4" t="n">
        <v>137</v>
      </c>
      <c r="I807" s="5" t="n">
        <v>80.3</v>
      </c>
      <c r="J807" s="5" t="n">
        <v>70.40000000000001</v>
      </c>
      <c r="K807" s="3" t="inlineStr">
        <is>
          <t>청주 남이 가좌리 어덕마을 전원주택지</t>
        </is>
      </c>
      <c r="L807" s="6">
        <f>HYPERLINK("https://fin.land.naver.com/articles/2652455060", "매물Link")</f>
        <v/>
      </c>
      <c r="M807" s="6">
        <f>HYPERLINK("https://map.naver.com/p/search/남이면 가좌리 223-160", "지도Link")</f>
        <v/>
      </c>
      <c r="N807" s="6">
        <f>HYPERLINK("http://www.eum.go.kr/web/ar/lu/luLandDet.jsp?pnu=4311231036102230160&amp;isNoScr=script&amp;mode=search",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146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223-163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13000</v>
      </c>
      <c r="G808" s="4" t="n">
        <v>540</v>
      </c>
      <c r="H808" s="4" t="n">
        <v>163</v>
      </c>
      <c r="I808" s="5" t="n">
        <v>79.8</v>
      </c>
      <c r="J808" s="5" t="n">
        <v>69.2</v>
      </c>
      <c r="K808" s="3" t="inlineStr">
        <is>
          <t>청주시 서원구 남이면 가좌리 어덕마을 전원주택지내 전원주택용 토지</t>
        </is>
      </c>
      <c r="L808" s="6">
        <f>HYPERLINK("https://fin.land.naver.com/articles/2652455294", "매물Link")</f>
        <v/>
      </c>
      <c r="M808" s="6">
        <f>HYPERLINK("https://map.naver.com/p/search/남이면 가좌리 223-163", "지도Link")</f>
        <v/>
      </c>
      <c r="N808" s="6">
        <f>HYPERLINK("http://www.eum.go.kr/web/ar/lu/luLandDet.jsp?pnu=4311231036102230163&amp;isNoScr=script&amp;mode=search", "토지이음")</f>
        <v/>
      </c>
      <c r="O808" s="3" t="inlineStr">
        <is>
          <t>좋은선택</t>
        </is>
      </c>
      <c r="P808" s="4" t="n">
        <v>1</v>
      </c>
      <c r="Q808" s="4" t="n">
        <v>474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223-163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</v>
      </c>
      <c r="G809" s="4" t="n">
        <v>540</v>
      </c>
      <c r="H809" s="4" t="n">
        <v>163</v>
      </c>
      <c r="I809" s="5" t="n">
        <v>79.8</v>
      </c>
      <c r="J809" s="5" t="n">
        <v>69.2</v>
      </c>
      <c r="K809" s="3" t="inlineStr">
        <is>
          <t>청주시 서원구 남이면 가좌리 어덕마을 전원주택지내 전원주택용 토지</t>
        </is>
      </c>
      <c r="L809" s="6">
        <f>HYPERLINK("https://fin.land.naver.com/articles/2655253660", "매물Link")</f>
        <v/>
      </c>
      <c r="M809" s="6">
        <f>HYPERLINK("https://map.naver.com/p/search/남이면 가좌리 223-163", "지도Link")</f>
        <v/>
      </c>
      <c r="N809" s="6">
        <f>HYPERLINK("http://www.eum.go.kr/web/ar/lu/luLandDet.jsp?pnu=4311231036102230163&amp;isNoScr=script&amp;mode=search", "토지이음")</f>
        <v/>
      </c>
      <c r="O809" s="3" t="inlineStr">
        <is>
          <t>좋은선택</t>
        </is>
      </c>
      <c r="P809" s="4" t="n">
        <v>1</v>
      </c>
      <c r="Q809" s="4" t="n">
        <v>474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가좌리 223-28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18900</v>
      </c>
      <c r="G810" s="4" t="n">
        <v>126</v>
      </c>
      <c r="H810" s="4" t="n">
        <v>38</v>
      </c>
      <c r="I810" s="5" t="n">
        <v>497.4</v>
      </c>
      <c r="J810" s="5" t="n">
        <v>69.2</v>
      </c>
      <c r="K810" s="3" t="inlineStr">
        <is>
          <t>단독주택지 한가운데 위치한 토지, 탁트인 뷰, 카페자리추천</t>
        </is>
      </c>
      <c r="L810" s="6">
        <f>HYPERLINK("https://fin.land.naver.com/articles/2655971651", "매물Link")</f>
        <v/>
      </c>
      <c r="M810" s="6">
        <f>HYPERLINK("https://map.naver.com/p/search/남이면 가좌리 223-28", "지도Link")</f>
        <v/>
      </c>
      <c r="N810" s="6">
        <f>HYPERLINK("http://www.eum.go.kr/web/ar/lu/luLandDet.jsp?pnu=4311231036102230028&amp;isNoScr=script&amp;mode=search",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416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남이면 가좌리 223-37</t>
        </is>
      </c>
      <c r="B811" s="3" t="inlineStr">
        <is>
          <t>자연녹지지역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16900</v>
      </c>
      <c r="G811" s="4" t="n">
        <v>538</v>
      </c>
      <c r="H811" s="4" t="n">
        <v>163</v>
      </c>
      <c r="I811" s="5" t="n">
        <v>103.7</v>
      </c>
      <c r="J811" s="5" t="n">
        <v>69.2</v>
      </c>
      <c r="K811" s="3" t="inlineStr">
        <is>
          <t>남이면 가좌리 어덕마을 전원주택부지 매매</t>
        </is>
      </c>
      <c r="L811" s="6">
        <f>HYPERLINK("https://fin.land.naver.com/articles/2655899443", "매물Link")</f>
        <v/>
      </c>
      <c r="M811" s="6">
        <f>HYPERLINK("https://map.naver.com/p/search/남이면 가좌리 223-37", "지도Link")</f>
        <v/>
      </c>
      <c r="N811" s="6">
        <f>HYPERLINK("http://www.eum.go.kr/web/ar/lu/luLandDet.jsp?pnu=4311231036102230037&amp;isNoScr=script&amp;mode=search", "토지이음")</f>
        <v/>
      </c>
      <c r="O811" s="3" t="inlineStr">
        <is>
          <t>탄탄</t>
        </is>
      </c>
      <c r="P811" s="4" t="n">
        <v>1</v>
      </c>
      <c r="Q811" s="4" t="n">
        <v>473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남이면 가좌리 223-66</t>
        </is>
      </c>
      <c r="B812" s="3" t="inlineStr">
        <is>
          <t>자연녹지지역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914</v>
      </c>
      <c r="H812" s="4" t="n">
        <v>276</v>
      </c>
      <c r="I812" s="5" t="n">
        <v>217.4</v>
      </c>
      <c r="J812" s="5" t="n">
        <v>67.8</v>
      </c>
      <c r="K812" s="3" t="inlineStr">
        <is>
          <t>전체 1306제곱미터, 신축부지</t>
        </is>
      </c>
      <c r="L812" s="6">
        <f>HYPERLINK("https://fin.land.naver.com/articles/2655729417", "매물Link")</f>
        <v/>
      </c>
      <c r="M812" s="6">
        <f>HYPERLINK("https://map.naver.com/p/search/남이면 가좌리 223-66", "지도Link")</f>
        <v/>
      </c>
      <c r="N812" s="6">
        <f>HYPERLINK("http://www.eum.go.kr/web/ar/lu/luLandDet.jsp?pnu=4311231036102230066&amp;isNoScr=script&amp;mode=search", "토지이음")</f>
        <v/>
      </c>
      <c r="O812" s="3" t="inlineStr">
        <is>
          <t>한마음</t>
        </is>
      </c>
      <c r="P812" s="4" t="n">
        <v>1</v>
      </c>
      <c r="Q812" s="4" t="n">
        <v>914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235</t>
        </is>
      </c>
      <c r="B813" s="3" t="inlineStr">
        <is>
          <t>자연녹지지역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200000</v>
      </c>
      <c r="G813" s="4" t="n">
        <v>3130</v>
      </c>
      <c r="H813" s="4" t="n">
        <v>947</v>
      </c>
      <c r="I813" s="5" t="n">
        <v>211.2</v>
      </c>
      <c r="J813" s="5" t="n">
        <v>96.59999999999999</v>
      </c>
      <c r="K813" s="3" t="inlineStr">
        <is>
          <t>1층식당, 2층 주택, 대전 청주 17번 국도변에 위치</t>
        </is>
      </c>
      <c r="L813" s="6">
        <f>HYPERLINK("https://fin.land.naver.com/articles/2653353135", "매물Link")</f>
        <v/>
      </c>
      <c r="M813" s="6">
        <f>HYPERLINK("https://map.naver.com/p/search/남이면 가좌리 235", "지도Link")</f>
        <v/>
      </c>
      <c r="N813" s="6">
        <f>HYPERLINK("http://www.eum.go.kr/web/ar/lu/luLandDet.jsp?pnu=4311231036102350000&amp;isNoScr=script&amp;mode=search", "토지이음")</f>
        <v/>
      </c>
      <c r="O813" s="3" t="inlineStr">
        <is>
          <t>황제</t>
        </is>
      </c>
      <c r="P813" s="4" t="n">
        <v>1</v>
      </c>
      <c r="Q813" s="4" t="n">
        <v>3130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259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130000</v>
      </c>
      <c r="G814" s="4" t="n">
        <v>1237</v>
      </c>
      <c r="H814" s="4" t="n">
        <v>374</v>
      </c>
      <c r="I814" s="5" t="n">
        <v>347.6</v>
      </c>
      <c r="J814" s="5" t="n">
        <v>31.6</v>
      </c>
      <c r="K814" s="3" t="inlineStr">
        <is>
          <t>가시성 뛰어난 토지. 4차선 도로접</t>
        </is>
      </c>
      <c r="L814" s="6">
        <f>HYPERLINK("https://fin.land.naver.com/articles/2655152383", "매물Link")</f>
        <v/>
      </c>
      <c r="M814" s="6">
        <f>HYPERLINK("https://map.naver.com/p/search/남이면 가좌리 259", "지도Link")</f>
        <v/>
      </c>
      <c r="N814" s="6">
        <f>HYPERLINK("http://www.eum.go.kr/web/ar/lu/luLandDet.jsp?pnu=4311231036102590000&amp;isNoScr=script&amp;mode=search", "토지이음")</f>
        <v/>
      </c>
      <c r="O814" s="3" t="inlineStr">
        <is>
          <t>터</t>
        </is>
      </c>
      <c r="P814" s="4" t="n">
        <v>2</v>
      </c>
      <c r="Q814" s="4" t="n">
        <v>1237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중로한면</t>
        </is>
      </c>
    </row>
    <row r="815">
      <c r="A815" s="3" t="inlineStr">
        <is>
          <t>남이면 가좌리 259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100000</v>
      </c>
      <c r="G815" s="4" t="n">
        <v>1237</v>
      </c>
      <c r="H815" s="4" t="n">
        <v>374</v>
      </c>
      <c r="I815" s="5" t="n">
        <v>267.4</v>
      </c>
      <c r="J815" s="5" t="n">
        <v>31.6</v>
      </c>
      <c r="K815" s="3" t="inlineStr">
        <is>
          <t>남이면 가좌리 광고효과 좋은 대로변 토지 매매.</t>
        </is>
      </c>
      <c r="L815" s="6">
        <f>HYPERLINK("https://fin.land.naver.com/articles/2654154168", "매물Link")</f>
        <v/>
      </c>
      <c r="M815" s="6">
        <f>HYPERLINK("https://map.naver.com/p/search/남이면 가좌리 259", "지도Link")</f>
        <v/>
      </c>
      <c r="N815" s="6">
        <f>HYPERLINK("http://www.eum.go.kr/web/ar/lu/luLandDet.jsp?pnu=4311231036102590000&amp;isNoScr=script&amp;mode=search", "토지이음")</f>
        <v/>
      </c>
      <c r="O815" s="3" t="inlineStr">
        <is>
          <t>방서에이스</t>
        </is>
      </c>
      <c r="P815" s="4" t="n">
        <v>2</v>
      </c>
      <c r="Q815" s="4" t="n">
        <v>1237</v>
      </c>
      <c r="R815" s="3" t="inlineStr">
        <is>
          <t>보전녹지지역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중로한면</t>
        </is>
      </c>
    </row>
    <row r="816">
      <c r="A816" s="3" t="inlineStr">
        <is>
          <t>남이면 가좌리 308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110000</v>
      </c>
      <c r="G816" s="4" t="n">
        <v>4692</v>
      </c>
      <c r="H816" s="4" t="n">
        <v>1419</v>
      </c>
      <c r="I816" s="5" t="n">
        <v>77.5</v>
      </c>
      <c r="J816" s="5" t="n">
        <v>25.1</v>
      </c>
      <c r="K816" s="3" t="inlineStr">
        <is>
          <t>남이면 가좌리 토목공사 완료된 토지 매매.제조업가능.</t>
        </is>
      </c>
      <c r="L816" s="6">
        <f>HYPERLINK("https://fin.land.naver.com/articles/2655568607", "매물Link")</f>
        <v/>
      </c>
      <c r="M816" s="6">
        <f>HYPERLINK("https://map.naver.com/p/search/남이면 가좌리 308", "지도Link")</f>
        <v/>
      </c>
      <c r="N816" s="6">
        <f>HYPERLINK("http://www.eum.go.kr/web/ar/lu/luLandDet.jsp?pnu=4311231036103080000&amp;isNoScr=script&amp;mode=search", "토지이음")</f>
        <v/>
      </c>
      <c r="O816" s="3" t="inlineStr">
        <is>
          <t>방서에이스</t>
        </is>
      </c>
      <c r="P816" s="4" t="n">
        <v>1</v>
      </c>
      <c r="Q816" s="4" t="n">
        <v>1711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남이면 가좌리 54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46600</v>
      </c>
      <c r="G817" s="4" t="n">
        <v>2371</v>
      </c>
      <c r="H817" s="4" t="n">
        <v>717</v>
      </c>
      <c r="I817" s="5" t="n">
        <v>65</v>
      </c>
      <c r="J817" s="5" t="n">
        <v>24</v>
      </c>
      <c r="K817" s="3" t="inlineStr">
        <is>
          <t>nan</t>
        </is>
      </c>
      <c r="L817" s="6">
        <f>HYPERLINK("https://fin.land.naver.com/articles/2651710438", "매물Link")</f>
        <v/>
      </c>
      <c r="M817" s="6">
        <f>HYPERLINK("https://map.naver.com/p/search/남이면 가좌리 54", "지도Link")</f>
        <v/>
      </c>
      <c r="N817" s="6">
        <f>HYPERLINK("http://www.eum.go.kr/web/ar/lu/luLandDet.jsp?pnu=4311231036100540000&amp;isNoScr=script&amp;mode=search", "토지이음")</f>
        <v/>
      </c>
      <c r="O817" s="3" t="inlineStr">
        <is>
          <t>대길</t>
        </is>
      </c>
      <c r="P817" s="4" t="n">
        <v>1</v>
      </c>
      <c r="Q817" s="4" t="n">
        <v>2371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가좌리 63-9</t>
        </is>
      </c>
      <c r="B818" s="3" t="inlineStr">
        <is>
          <t>자연녹지지역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136000</v>
      </c>
      <c r="G818" s="4" t="n">
        <v>2811</v>
      </c>
      <c r="H818" s="4" t="n">
        <v>850</v>
      </c>
      <c r="I818" s="5" t="n">
        <v>160</v>
      </c>
      <c r="J818" s="5" t="n">
        <v>42.1</v>
      </c>
      <c r="K818" s="3" t="inlineStr">
        <is>
          <t>투자용,창고용,캠핑카수리전무점,등 추전 매매13억6천,조절가능합니다</t>
        </is>
      </c>
      <c r="L818" s="6">
        <f>HYPERLINK("https://fin.land.naver.com/articles/2655597129", "매물Link")</f>
        <v/>
      </c>
      <c r="M818" s="6">
        <f>HYPERLINK("https://map.naver.com/p/search/남이면 가좌리 63-9", "지도Link")</f>
        <v/>
      </c>
      <c r="N818" s="6">
        <f>HYPERLINK("http://www.eum.go.kr/web/ar/lu/luLandDet.jsp?pnu=4311231036100630009&amp;isNoScr=script&amp;mode=search", "토지이음")</f>
        <v/>
      </c>
      <c r="O818" s="3" t="inlineStr">
        <is>
          <t>SB</t>
        </is>
      </c>
      <c r="P818" s="4" t="n">
        <v>1</v>
      </c>
      <c r="Q818" s="4" t="n">
        <v>2811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가좌리 97-2</t>
        </is>
      </c>
      <c r="B819" s="3" t="inlineStr">
        <is>
          <t>자연녹지지역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655</v>
      </c>
      <c r="H819" s="4" t="n">
        <v>198</v>
      </c>
      <c r="I819" s="5" t="n">
        <v>176.8</v>
      </c>
      <c r="J819" s="5" t="n">
        <v>69.7</v>
      </c>
      <c r="K819" s="3" t="inlineStr">
        <is>
          <t>2차선 도로접한 나대지 토지로 활용도 높음</t>
        </is>
      </c>
      <c r="L819" s="6">
        <f>HYPERLINK("https://fin.land.naver.com/articles/2655210183", "매물Link")</f>
        <v/>
      </c>
      <c r="M819" s="6">
        <f>HYPERLINK("https://map.naver.com/p/search/남이면 가좌리 97-2", "지도Link")</f>
        <v/>
      </c>
      <c r="N819" s="6">
        <f>HYPERLINK("http://www.eum.go.kr/web/ar/lu/luLandDet.jsp?pnu=4311231036100970002&amp;isNoScr=script&amp;mode=search", "토지이음")</f>
        <v/>
      </c>
      <c r="O819" s="3" t="inlineStr">
        <is>
          <t>청주원</t>
        </is>
      </c>
      <c r="P819" s="4" t="n">
        <v>2</v>
      </c>
      <c r="Q819" s="4" t="n">
        <v>655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소로각지</t>
        </is>
      </c>
    </row>
    <row r="820">
      <c r="A820" s="3" t="inlineStr">
        <is>
          <t>남이면 가좌리 산63-22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11000</v>
      </c>
      <c r="G820" s="4" t="n">
        <v>409</v>
      </c>
      <c r="H820" s="4" t="n">
        <v>124</v>
      </c>
      <c r="I820" s="5" t="n">
        <v>88.7</v>
      </c>
      <c r="J820" s="5" t="n">
        <v>19.5</v>
      </c>
      <c r="K820" s="3" t="inlineStr">
        <is>
          <t>nan</t>
        </is>
      </c>
      <c r="L820" s="6">
        <f>HYPERLINK("https://fin.land.naver.com/articles/2652058035", "매물Link")</f>
        <v/>
      </c>
      <c r="M820" s="6">
        <f>HYPERLINK("https://map.naver.com/p/search/남이면 가좌리 산63-22", "지도Link")</f>
        <v/>
      </c>
      <c r="N820" s="6">
        <f>HYPERLINK("http://www.eum.go.kr/web/ar/lu/luLandDet.jsp?pnu=4311231036200630022&amp;isNoScr=script&amp;mode=search", "토지이음")</f>
        <v/>
      </c>
      <c r="O820" s="3" t="inlineStr">
        <is>
          <t>거림</t>
        </is>
      </c>
      <c r="P820" s="4" t="n">
        <v>1</v>
      </c>
      <c r="Q820" s="4" t="n">
        <v>282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산70-3</t>
        </is>
      </c>
      <c r="B821" s="3" t="inlineStr">
        <is>
          <t>보전녹지지역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131800</v>
      </c>
      <c r="G821" s="4" t="n">
        <v>4990</v>
      </c>
      <c r="H821" s="4" t="n">
        <v>1509</v>
      </c>
      <c r="I821" s="5" t="n">
        <v>87.3</v>
      </c>
      <c r="J821" s="5" t="n">
        <v>3.7</v>
      </c>
      <c r="K821" s="3" t="inlineStr">
        <is>
          <t>사진 有 남청주ic구 청원ic 8분 접근성 좋은 창고부지</t>
        </is>
      </c>
      <c r="L821" s="6">
        <f>HYPERLINK("https://fin.land.naver.com/articles/2650890338", "매물Link")</f>
        <v/>
      </c>
      <c r="M821" s="6">
        <f>HYPERLINK("https://map.naver.com/p/search/남이면 가좌리 산70-3", "지도Link")</f>
        <v/>
      </c>
      <c r="N821" s="6">
        <f>HYPERLINK("http://www.eum.go.kr/web/ar/lu/luLandDet.jsp?pnu=4311231036200700003&amp;isNoScr=script&amp;mode=search", "토지이음")</f>
        <v/>
      </c>
      <c r="O821" s="3" t="inlineStr">
        <is>
          <t>청주대장</t>
        </is>
      </c>
      <c r="P821" s="4" t="n">
        <v>1</v>
      </c>
      <c r="Q821" s="4" t="n">
        <v>2483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207-3</t>
        </is>
      </c>
      <c r="B822" s="3" t="inlineStr">
        <is>
          <t>계획관리지역</t>
        </is>
      </c>
      <c r="C822" s="3" t="inlineStr">
        <is>
          <t>주유소용지</t>
        </is>
      </c>
      <c r="D822" s="3" t="inlineStr">
        <is>
          <t>주유소용지</t>
        </is>
      </c>
      <c r="E822" s="3" t="inlineStr">
        <is>
          <t>매매</t>
        </is>
      </c>
      <c r="F822" s="4" t="n">
        <v>180000</v>
      </c>
      <c r="G822" s="4" t="n">
        <v>1805</v>
      </c>
      <c r="H822" s="4" t="n">
        <v>546</v>
      </c>
      <c r="I822" s="5" t="n">
        <v>329.7</v>
      </c>
      <c r="J822" s="5" t="n">
        <v>66.2</v>
      </c>
      <c r="K822" s="3" t="inlineStr">
        <is>
          <t>갈원리 계획관리지역의 위치 좋은 주유소용지 매매이예요</t>
        </is>
      </c>
      <c r="L822" s="6">
        <f>HYPERLINK("https://fin.land.naver.com/articles/2651068722", "매물Link")</f>
        <v/>
      </c>
      <c r="M822" s="6">
        <f>HYPERLINK("https://map.naver.com/p/search/남이면 갈원리 207-3", "지도Link")</f>
        <v/>
      </c>
      <c r="N822" s="6">
        <f>HYPERLINK("http://www.eum.go.kr/web/ar/lu/luLandDet.jsp?pnu=4311231029102070003&amp;isNoScr=script&amp;mode=search", "토지이음")</f>
        <v/>
      </c>
      <c r="O822" s="3" t="inlineStr">
        <is>
          <t>4989명품</t>
        </is>
      </c>
      <c r="P822" s="4" t="n">
        <v>1</v>
      </c>
      <c r="Q822" s="4" t="n">
        <v>1484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갈원리 276</t>
        </is>
      </c>
      <c r="B823" s="3" t="inlineStr">
        <is>
          <t>생산관리지역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15000</v>
      </c>
      <c r="G823" s="4" t="n">
        <v>1033</v>
      </c>
      <c r="H823" s="4" t="n">
        <v>312</v>
      </c>
      <c r="I823" s="5" t="n">
        <v>48.1</v>
      </c>
      <c r="J823" s="5" t="n">
        <v>12.8</v>
      </c>
      <c r="K823" s="3" t="inlineStr">
        <is>
          <t>전, 생산관리, 갈원초 남쪽 길건너 인근, 접근성 양호</t>
        </is>
      </c>
      <c r="L823" s="6">
        <f>HYPERLINK("https://fin.land.naver.com/articles/2654355044", "매물Link")</f>
        <v/>
      </c>
      <c r="M823" s="6">
        <f>HYPERLINK("https://map.naver.com/p/search/남이면 갈원리 276", "지도Link")</f>
        <v/>
      </c>
      <c r="N823" s="6">
        <f>HYPERLINK("http://www.eum.go.kr/web/ar/lu/luLandDet.jsp?pnu=4311231029102760000&amp;isNoScr=script&amp;mode=search", "토지이음")</f>
        <v/>
      </c>
      <c r="O823" s="3" t="inlineStr">
        <is>
          <t>서일</t>
        </is>
      </c>
      <c r="P823" s="4" t="n">
        <v>1</v>
      </c>
      <c r="Q823" s="4" t="n">
        <v>1033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갈원리 6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30000</v>
      </c>
      <c r="G824" s="4" t="n">
        <v>1907</v>
      </c>
      <c r="H824" s="4" t="n">
        <v>577</v>
      </c>
      <c r="I824" s="5" t="n">
        <v>52</v>
      </c>
      <c r="J824" s="5" t="n">
        <v>21.8</v>
      </c>
      <c r="K824" s="3" t="inlineStr">
        <is>
          <t>남이면 주말농장 소개해드립니다</t>
        </is>
      </c>
      <c r="L824" s="6">
        <f>HYPERLINK("https://fin.land.naver.com/articles/2651733436", "매물Link")</f>
        <v/>
      </c>
      <c r="M824" s="6">
        <f>HYPERLINK("https://map.naver.com/p/search/남이면 갈원리 6", "지도Link")</f>
        <v/>
      </c>
      <c r="N824" s="6">
        <f>HYPERLINK("http://www.eum.go.kr/web/ar/lu/luLandDet.jsp?pnu=4311231029100060000&amp;isNoScr=script&amp;mode=search", "토지이음")</f>
        <v/>
      </c>
      <c r="O824" s="3" t="inlineStr">
        <is>
          <t>이로운 사무소</t>
        </is>
      </c>
      <c r="P824" s="4" t="n">
        <v>1</v>
      </c>
      <c r="Q824" s="4" t="n">
        <v>1907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갈원리 산39-8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40000</v>
      </c>
      <c r="G825" s="4" t="n">
        <v>3300</v>
      </c>
      <c r="H825" s="4" t="n">
        <v>998</v>
      </c>
      <c r="I825" s="5" t="n">
        <v>40.1</v>
      </c>
      <c r="J825" s="5" t="n">
        <v>2.9</v>
      </c>
      <c r="K825" s="3" t="inlineStr">
        <is>
          <t>2차선 대로변 낮은 임야</t>
        </is>
      </c>
      <c r="L825" s="6">
        <f>HYPERLINK("https://fin.land.naver.com/articles/2654696842", "매물Link")</f>
        <v/>
      </c>
      <c r="M825" s="6">
        <f>HYPERLINK("https://map.naver.com/p/search/남이면 갈원리 산39-8", "지도Link")</f>
        <v/>
      </c>
      <c r="N825" s="6">
        <f>HYPERLINK("http://www.eum.go.kr/web/ar/lu/luLandDet.jsp?pnu=4311231029200390008&amp;isNoScr=script&amp;mode=search", "토지이음")</f>
        <v/>
      </c>
      <c r="O825" s="3" t="inlineStr">
        <is>
          <t>수풀림</t>
        </is>
      </c>
      <c r="P825" s="4" t="n">
        <v>2</v>
      </c>
      <c r="Q825" s="4" t="n">
        <v>3300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남이면 구미리 189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공장용지</t>
        </is>
      </c>
      <c r="E826" s="3" t="inlineStr">
        <is>
          <t>매매</t>
        </is>
      </c>
      <c r="F826" s="4" t="n">
        <v>544000</v>
      </c>
      <c r="G826" s="4" t="n">
        <v>11240</v>
      </c>
      <c r="H826" s="4" t="n">
        <v>3400</v>
      </c>
      <c r="I826" s="5" t="n">
        <v>160</v>
      </c>
      <c r="J826" s="5" t="n">
        <v>21.5</v>
      </c>
      <c r="K826" s="3" t="inlineStr">
        <is>
          <t>공장 인허가 완료된 토지매매</t>
        </is>
      </c>
      <c r="L826" s="6">
        <f>HYPERLINK("https://fin.land.naver.com/articles/2652774322", "매물Link")</f>
        <v/>
      </c>
      <c r="M826" s="6">
        <f>HYPERLINK("https://map.naver.com/p/search/남이면 구미리 189", "지도Link")</f>
        <v/>
      </c>
      <c r="N826" s="6">
        <f>HYPERLINK("http://www.eum.go.kr/web/ar/lu/luLandDet.jsp?pnu=4311231027101890000&amp;isNoScr=script&amp;mode=search", "토지이음")</f>
        <v/>
      </c>
      <c r="O826" s="3" t="inlineStr">
        <is>
          <t>금화랜드</t>
        </is>
      </c>
      <c r="P826" s="4" t="n">
        <v>1</v>
      </c>
      <c r="Q826" s="4" t="n">
        <v>2144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구미리 192-3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736000</v>
      </c>
      <c r="G827" s="4" t="n">
        <v>18719</v>
      </c>
      <c r="H827" s="4" t="n">
        <v>5662</v>
      </c>
      <c r="I827" s="5" t="n">
        <v>130</v>
      </c>
      <c r="J827" s="5" t="n">
        <v>34.8</v>
      </c>
      <c r="K827" s="3" t="inlineStr">
        <is>
          <t>청주 남이면 구미리 2차선 도로접, 공장허가득한 토</t>
        </is>
      </c>
      <c r="L827" s="6">
        <f>HYPERLINK("https://fin.land.naver.com/articles/2652739615", "매물Link")</f>
        <v/>
      </c>
      <c r="M827" s="6">
        <f>HYPERLINK("https://map.naver.com/p/search/남이면 구미리 192-3", "지도Link")</f>
        <v/>
      </c>
      <c r="N827" s="6">
        <f>HYPERLINK("http://www.eum.go.kr/web/ar/lu/luLandDet.jsp?pnu=4311231027101920003&amp;isNoScr=script&amp;mode=search",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18455</v>
      </c>
      <c r="R827" s="3" t="inlineStr">
        <is>
          <t>농림지역</t>
        </is>
      </c>
      <c r="S827" s="3" t="inlineStr">
        <is>
          <t>공업나지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223-1</t>
        </is>
      </c>
      <c r="B828" s="3" t="inlineStr">
        <is>
          <t>농림지역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50000</v>
      </c>
      <c r="G828" s="4" t="n">
        <v>5058</v>
      </c>
      <c r="H828" s="4" t="n">
        <v>1530</v>
      </c>
      <c r="I828" s="5" t="n">
        <v>32.7</v>
      </c>
      <c r="J828" s="5" t="n">
        <v>13.1</v>
      </c>
      <c r="K828" s="3" t="inlineStr">
        <is>
          <t>농막, 지하수, 전기 인입된 투자용 토지</t>
        </is>
      </c>
      <c r="L828" s="6">
        <f>HYPERLINK("https://fin.land.naver.com/articles/2653240662", "매물Link")</f>
        <v/>
      </c>
      <c r="M828" s="6">
        <f>HYPERLINK("https://map.naver.com/p/search/남이면 구미리 223-1", "지도Link")</f>
        <v/>
      </c>
      <c r="N828" s="6">
        <f>HYPERLINK("http://www.eum.go.kr/web/ar/lu/luLandDet.jsp?pnu=4311231027102230001&amp;isNoScr=script&amp;mode=search", "토지이음")</f>
        <v/>
      </c>
      <c r="O828" s="3" t="inlineStr">
        <is>
          <t>산들</t>
        </is>
      </c>
      <c r="P828" s="4" t="n">
        <v>2</v>
      </c>
      <c r="Q828" s="4" t="n">
        <v>5058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남이면 구미리 302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439600</v>
      </c>
      <c r="G829" s="4" t="n">
        <v>7276</v>
      </c>
      <c r="H829" s="4" t="n">
        <v>2201</v>
      </c>
      <c r="I829" s="5" t="n">
        <v>199.7</v>
      </c>
      <c r="J829" s="5" t="n">
        <v>20.2</v>
      </c>
      <c r="K829" s="3" t="inlineStr">
        <is>
          <t>남이면 구미리 토지매매 왕복2차선 도로접</t>
        </is>
      </c>
      <c r="L829" s="6">
        <f>HYPERLINK("https://fin.land.naver.com/articles/2652822357", "매물Link")</f>
        <v/>
      </c>
      <c r="M829" s="6">
        <f>HYPERLINK("https://map.naver.com/p/search/남이면 구미리 302", "지도Link")</f>
        <v/>
      </c>
      <c r="N829" s="6">
        <f>HYPERLINK("http://www.eum.go.kr/web/ar/lu/luLandDet.jsp?pnu=4311231027103020000&amp;isNoScr=script&amp;mode=search", "토지이음")</f>
        <v/>
      </c>
      <c r="O829" s="3" t="inlineStr">
        <is>
          <t>탄탄</t>
        </is>
      </c>
      <c r="P829" s="4" t="n">
        <v>1</v>
      </c>
      <c r="Q829" s="4" t="n">
        <v>668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남이면 구미리 35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200000</v>
      </c>
      <c r="G830" s="4" t="n">
        <v>4553</v>
      </c>
      <c r="H830" s="4" t="n">
        <v>1377</v>
      </c>
      <c r="I830" s="5" t="n">
        <v>145.2</v>
      </c>
      <c r="J830" s="5" t="n">
        <v>20</v>
      </c>
      <c r="K830" s="3" t="inlineStr">
        <is>
          <t>2차선도로접. 분할가능. 연정교차로 인근.공장.창고추천</t>
        </is>
      </c>
      <c r="L830" s="6">
        <f>HYPERLINK("https://fin.land.naver.com/articles/2654897822", "매물Link")</f>
        <v/>
      </c>
      <c r="M830" s="6">
        <f>HYPERLINK("https://map.naver.com/p/search/남이면 구미리 35", "지도Link")</f>
        <v/>
      </c>
      <c r="N830" s="6">
        <f>HYPERLINK("http://www.eum.go.kr/web/ar/lu/luLandDet.jsp?pnu=4311231027100350000&amp;isNoScr=script&amp;mode=search", "토지이음")</f>
        <v/>
      </c>
      <c r="O830" s="3" t="inlineStr">
        <is>
          <t>플러스자이합동</t>
        </is>
      </c>
      <c r="P830" s="4" t="n">
        <v>1</v>
      </c>
      <c r="Q830" s="4" t="n">
        <v>4553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구미리 산19-9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62000</v>
      </c>
      <c r="G831" s="4" t="n">
        <v>2357</v>
      </c>
      <c r="H831" s="4" t="n">
        <v>713</v>
      </c>
      <c r="I831" s="5" t="n">
        <v>87</v>
      </c>
      <c r="J831" s="5" t="n">
        <v>8.5</v>
      </c>
      <c r="K831" s="3" t="inlineStr">
        <is>
          <t>계획관리지역 공장,창고 추천</t>
        </is>
      </c>
      <c r="L831" s="6">
        <f>HYPERLINK("https://fin.land.naver.com/articles/2651068418", "매물Link")</f>
        <v/>
      </c>
      <c r="M831" s="6">
        <f>HYPERLINK("https://map.naver.com/p/search/남이면 구미리 산19-9", "지도Link")</f>
        <v/>
      </c>
      <c r="N831" s="6">
        <f>HYPERLINK("http://www.eum.go.kr/web/ar/lu/luLandDet.jsp?pnu=4311231027200190009&amp;isNoScr=script&amp;mode=search", "토지이음")</f>
        <v/>
      </c>
      <c r="O831" s="3" t="inlineStr">
        <is>
          <t>새로이</t>
        </is>
      </c>
      <c r="P831" s="4" t="n">
        <v>1</v>
      </c>
      <c r="Q831" s="4" t="n">
        <v>2262</v>
      </c>
      <c r="R831" s="3" t="inlineStr">
        <is>
          <t>지정되지않음</t>
        </is>
      </c>
      <c r="S831" s="3" t="inlineStr">
        <is>
          <t>임야기타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남이면 구암리 103-2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107000</v>
      </c>
      <c r="G832" s="4" t="n">
        <v>2354</v>
      </c>
      <c r="H832" s="4" t="n">
        <v>712</v>
      </c>
      <c r="I832" s="5" t="n">
        <v>150.3</v>
      </c>
      <c r="J832" s="5" t="n">
        <v>42.8</v>
      </c>
      <c r="K832" s="3" t="inlineStr">
        <is>
          <t>청주 세종간 4차선도로변 공장부지 근린생활시설</t>
        </is>
      </c>
      <c r="L832" s="6">
        <f>HYPERLINK("https://fin.land.naver.com/articles/2656324520", "매물Link")</f>
        <v/>
      </c>
      <c r="M832" s="6">
        <f>HYPERLINK("https://map.naver.com/p/search/남이면 구암리 103-2", "지도Link")</f>
        <v/>
      </c>
      <c r="N832" s="6">
        <f>HYPERLINK("http://www.eum.go.kr/web/ar/lu/luLandDet.jsp?pnu=4311231032101030002&amp;isNoScr=script&amp;mode=search", "토지이음")</f>
        <v/>
      </c>
      <c r="O832" s="3" t="inlineStr">
        <is>
          <t>두원</t>
        </is>
      </c>
      <c r="P832" s="4" t="n">
        <v>1</v>
      </c>
      <c r="Q832" s="4" t="n">
        <v>2095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남이면 구암리 11-1</t>
        </is>
      </c>
      <c r="B833" s="3" t="inlineStr">
        <is>
          <t>자연녹지지역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103560</v>
      </c>
      <c r="G833" s="4" t="n">
        <v>2848</v>
      </c>
      <c r="H833" s="4" t="n">
        <v>862</v>
      </c>
      <c r="I833" s="5" t="n">
        <v>120.1</v>
      </c>
      <c r="J833" s="5" t="n">
        <v>17.3</v>
      </c>
      <c r="K833" s="3" t="inlineStr">
        <is>
          <t>석곡사거리 진입편리한 창고부지</t>
        </is>
      </c>
      <c r="L833" s="6">
        <f>HYPERLINK("https://fin.land.naver.com/articles/2655700004", "매물Link")</f>
        <v/>
      </c>
      <c r="M833" s="6">
        <f>HYPERLINK("https://map.naver.com/p/search/남이면 구암리 11-1", "지도Link")</f>
        <v/>
      </c>
      <c r="N833" s="6">
        <f>HYPERLINK("http://www.eum.go.kr/web/ar/lu/luLandDet.jsp?pnu=4311231032100110001&amp;isNoScr=script&amp;mode=search", "토지이음")</f>
        <v/>
      </c>
      <c r="O833" s="3" t="inlineStr">
        <is>
          <t>토담</t>
        </is>
      </c>
      <c r="P833" s="4" t="n">
        <v>1</v>
      </c>
      <c r="Q833" s="4" t="n">
        <v>2758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구암리 123-1</t>
        </is>
      </c>
      <c r="B834" s="3" t="inlineStr">
        <is>
          <t>자연녹지지역</t>
        </is>
      </c>
      <c r="C834" s="3" t="inlineStr">
        <is>
          <t>답</t>
        </is>
      </c>
      <c r="D834" s="3" t="inlineStr">
        <is>
          <t>대</t>
        </is>
      </c>
      <c r="E834" s="3" t="inlineStr">
        <is>
          <t>매매</t>
        </is>
      </c>
      <c r="F834" s="4" t="n">
        <v>178800</v>
      </c>
      <c r="G834" s="4" t="n">
        <v>3940</v>
      </c>
      <c r="H834" s="4" t="n">
        <v>1192</v>
      </c>
      <c r="I834" s="5" t="n">
        <v>150</v>
      </c>
      <c r="J834" s="5" t="n">
        <v>46.1</v>
      </c>
      <c r="K834" s="3" t="inlineStr">
        <is>
          <t>nan</t>
        </is>
      </c>
      <c r="L834" s="6">
        <f>HYPERLINK("https://fin.land.naver.com/articles/2652111791", "매물Link")</f>
        <v/>
      </c>
      <c r="M834" s="6">
        <f>HYPERLINK("https://map.naver.com/p/search/남이면 구암리 123-1", "지도Link")</f>
        <v/>
      </c>
      <c r="N834" s="6">
        <f>HYPERLINK("http://www.eum.go.kr/web/ar/lu/luLandDet.jsp?pnu=4311231032101230001&amp;isNoScr=script&amp;mode=search", "토지이음")</f>
        <v/>
      </c>
      <c r="O834" s="3" t="inlineStr">
        <is>
          <t>교차로</t>
        </is>
      </c>
      <c r="P834" s="4" t="n">
        <v>1</v>
      </c>
      <c r="Q834" s="4" t="n">
        <v>3011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구암리 143-3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2791</v>
      </c>
      <c r="H835" s="4" t="n">
        <v>844</v>
      </c>
      <c r="I835" s="5" t="n">
        <v>71.09999999999999</v>
      </c>
      <c r="J835" s="5" t="n">
        <v>30.6</v>
      </c>
      <c r="K835" s="3" t="inlineStr">
        <is>
          <t>혜화학교 인근 자연녹지 토지로 활용도 많은 땅임.</t>
        </is>
      </c>
      <c r="L835" s="6">
        <f>HYPERLINK("https://fin.land.naver.com/articles/2654382340", "매물Link")</f>
        <v/>
      </c>
      <c r="M835" s="6">
        <f>HYPERLINK("https://map.naver.com/p/search/남이면 구암리 143-3", "지도Link")</f>
        <v/>
      </c>
      <c r="N835" s="6">
        <f>HYPERLINK("http://www.eum.go.kr/web/ar/lu/luLandDet.jsp?pnu=4311231032101430003&amp;isNoScr=script&amp;mode=search", "토지이음")</f>
        <v/>
      </c>
      <c r="O835" s="3" t="inlineStr">
        <is>
          <t>포시즌</t>
        </is>
      </c>
      <c r="P835" s="4" t="n">
        <v>1</v>
      </c>
      <c r="Q835" s="4" t="n">
        <v>2791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전</t>
        </is>
      </c>
      <c r="E839" s="3" t="inlineStr">
        <is>
          <t>매매</t>
        </is>
      </c>
      <c r="F839" s="4" t="n">
        <v>17500</v>
      </c>
      <c r="G839" s="4" t="n">
        <v>1448</v>
      </c>
      <c r="H839" s="4" t="n">
        <v>438</v>
      </c>
      <c r="I839" s="5" t="n">
        <v>40</v>
      </c>
      <c r="J839" s="5" t="n">
        <v>35.5</v>
      </c>
      <c r="K839" s="3" t="inlineStr">
        <is>
          <t>전원 주택지 적합</t>
        </is>
      </c>
      <c r="L839" s="6">
        <f>HYPERLINK("https://fin.land.naver.com/articles/2651956458",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효성</t>
        </is>
      </c>
      <c r="P839" s="4" t="n">
        <v>1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80000</v>
      </c>
      <c r="G840" s="4" t="n">
        <v>41068</v>
      </c>
      <c r="H840" s="4" t="n">
        <v>12423</v>
      </c>
      <c r="I840" s="5" t="n">
        <v>6.4</v>
      </c>
      <c r="J840" s="5" t="n">
        <v>2.6</v>
      </c>
      <c r="K840" s="3" t="inlineStr">
        <is>
          <t>도시지역.보전녹지. 전.있음</t>
        </is>
      </c>
      <c r="L840" s="6">
        <f>HYPERLINK("https://fin.land.naver.com/articles/2654581431",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74500</v>
      </c>
      <c r="G841" s="4" t="n">
        <v>41068</v>
      </c>
      <c r="H841" s="4" t="n">
        <v>12423</v>
      </c>
      <c r="I841" s="5" t="n">
        <v>6</v>
      </c>
      <c r="J841" s="5" t="n">
        <v>2.6</v>
      </c>
      <c r="K841" s="3" t="inlineStr">
        <is>
          <t>지목  임야     전</t>
        </is>
      </c>
      <c r="L841" s="6">
        <f>HYPERLINK("https://fin.land.naver.com/articles/2653746352",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남청주 IC 인근, 청주 외곽순환로 접근성 최상 입지 토지 급매</t>
        </is>
      </c>
      <c r="L842" s="6">
        <f>HYPERLINK("https://fin.land.naver.com/articles/2653087489",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대지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1665</v>
      </c>
      <c r="H843" s="4" t="n">
        <v>504</v>
      </c>
      <c r="I843" s="5" t="n">
        <v>75.40000000000001</v>
      </c>
      <c r="J843" s="5" t="n">
        <v>17.8</v>
      </c>
      <c r="K843" s="3" t="inlineStr">
        <is>
          <t>2차선도로접,석곡사거리에서2km로 5분거리,토목공사완료</t>
        </is>
      </c>
      <c r="L843" s="6">
        <f>HYPERLINK("https://fin.land.naver.com/articles/2653652351",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GS자이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대련리 105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10700</v>
      </c>
      <c r="G846" s="4" t="n">
        <v>806</v>
      </c>
      <c r="H846" s="4" t="n">
        <v>244</v>
      </c>
      <c r="I846" s="5" t="n">
        <v>43.9</v>
      </c>
      <c r="J846" s="5" t="n">
        <v>17.5</v>
      </c>
      <c r="K846" s="3" t="inlineStr">
        <is>
          <t>도심근교 전원주택지에 있는  대지와 밭이 있는 땅임 .</t>
        </is>
      </c>
      <c r="L846" s="6">
        <f>HYPERLINK("https://fin.land.naver.com/articles/2655805146", "매물Link")</f>
        <v/>
      </c>
      <c r="M846" s="6">
        <f>HYPERLINK("https://map.naver.com/p/search/남이면 대련리 105", "지도Link")</f>
        <v/>
      </c>
      <c r="N846" s="6">
        <f>HYPERLINK("http://www.eum.go.kr/web/ar/lu/luLandDet.jsp?pnu=4311231035101050000&amp;isNoScr=script&amp;mode=search",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446</v>
      </c>
      <c r="R846" s="3" t="inlineStr">
        <is>
          <t>보전녹지지역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대련리 129-2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39000</v>
      </c>
      <c r="G847" s="4" t="n">
        <v>2324</v>
      </c>
      <c r="H847" s="4" t="n">
        <v>703</v>
      </c>
      <c r="I847" s="5" t="n">
        <v>55.5</v>
      </c>
      <c r="J847" s="5" t="n">
        <v>24.5</v>
      </c>
      <c r="K847" s="3" t="inlineStr">
        <is>
          <t>도심근교에 있는, 자연녹지 지역 토지이며,  물류창고,등 추천함.</t>
        </is>
      </c>
      <c r="L847" s="6">
        <f>HYPERLINK("https://fin.land.naver.com/articles/2654703688", "매물Link")</f>
        <v/>
      </c>
      <c r="M847" s="6">
        <f>HYPERLINK("https://map.naver.com/p/search/남이면 대련리 129-2", "지도Link")</f>
        <v/>
      </c>
      <c r="N847" s="6">
        <f>HYPERLINK("http://www.eum.go.kr/web/ar/lu/luLandDet.jsp?pnu=4311231035101290002&amp;isNoScr=script&amp;mode=search",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1663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남이면 대련리 2-1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56300</v>
      </c>
      <c r="G848" s="4" t="n">
        <v>3722</v>
      </c>
      <c r="H848" s="4" t="n">
        <v>1126</v>
      </c>
      <c r="I848" s="5" t="n">
        <v>50</v>
      </c>
      <c r="J848" s="5" t="n">
        <v>25.1</v>
      </c>
      <c r="K848" s="3" t="inlineStr">
        <is>
          <t>현황도로 있음 지적상은 맹지 매매가 절충가능</t>
        </is>
      </c>
      <c r="L848" s="6">
        <f>HYPERLINK("https://fin.land.naver.com/articles/2654659554", "매물Link")</f>
        <v/>
      </c>
      <c r="M848" s="6">
        <f>HYPERLINK("https://map.naver.com/p/search/남이면 대련리 2-1", "지도Link")</f>
        <v/>
      </c>
      <c r="N848" s="6">
        <f>HYPERLINK("http://www.eum.go.kr/web/ar/lu/luLandDet.jsp?pnu=4311231035100020001&amp;isNoScr=script&amp;mode=search", "토지이음")</f>
        <v/>
      </c>
      <c r="O848" s="3" t="inlineStr">
        <is>
          <t>세종</t>
        </is>
      </c>
      <c r="P848" s="4" t="n">
        <v>1</v>
      </c>
      <c r="Q848" s="4" t="n">
        <v>2297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대련리 201-2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59702</v>
      </c>
      <c r="G849" s="4" t="n">
        <v>1974</v>
      </c>
      <c r="H849" s="4" t="n">
        <v>597</v>
      </c>
      <c r="I849" s="5" t="n">
        <v>100</v>
      </c>
      <c r="J849" s="5" t="n">
        <v>17</v>
      </c>
      <c r="K849" s="3" t="inlineStr">
        <is>
          <t>4m도로접, 민원소지 없는 공장 ,창고 추천</t>
        </is>
      </c>
      <c r="L849" s="6">
        <f>HYPERLINK("https://fin.land.naver.com/articles/2654897511", "매물Link")</f>
        <v/>
      </c>
      <c r="M849" s="6">
        <f>HYPERLINK("https://map.naver.com/p/search/남이면 대련리 201-2", "지도Link")</f>
        <v/>
      </c>
      <c r="N849" s="6">
        <f>HYPERLINK("http://www.eum.go.kr/web/ar/lu/luLandDet.jsp?pnu=4311231035102010002&amp;isNoScr=script&amp;mode=search", "토지이음")</f>
        <v/>
      </c>
      <c r="O849" s="3" t="inlineStr">
        <is>
          <t>플러스자이합동</t>
        </is>
      </c>
      <c r="P849" s="4" t="n">
        <v>2</v>
      </c>
      <c r="Q849" s="4" t="n">
        <v>1974</v>
      </c>
      <c r="R849" s="3" t="inlineStr">
        <is>
          <t>보전녹지지역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224-3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1001</v>
      </c>
      <c r="H850" s="4" t="n">
        <v>303</v>
      </c>
      <c r="I850" s="5" t="n">
        <v>89.09999999999999</v>
      </c>
      <c r="J850" s="5" t="n">
        <v>23.6</v>
      </c>
      <c r="K850" s="3" t="inlineStr">
        <is>
          <t>남이초 인근 대련리 토지매매</t>
        </is>
      </c>
      <c r="L850" s="6">
        <f>HYPERLINK("https://fin.land.naver.com/articles/2653467124", "매물Link")</f>
        <v/>
      </c>
      <c r="M850" s="6">
        <f>HYPERLINK("https://map.naver.com/p/search/남이면 대련리 224-3", "지도Link")</f>
        <v/>
      </c>
      <c r="N850" s="6">
        <f>HYPERLINK("http://www.eum.go.kr/web/ar/lu/luLandDet.jsp?pnu=4311231035102240003&amp;isNoScr=script&amp;mode=search", "토지이음")</f>
        <v/>
      </c>
      <c r="O850" s="3" t="inlineStr">
        <is>
          <t>원탑</t>
        </is>
      </c>
      <c r="P850" s="4" t="n">
        <v>2</v>
      </c>
      <c r="Q850" s="4" t="n">
        <v>1001</v>
      </c>
      <c r="R850" s="3" t="inlineStr">
        <is>
          <t>지정되지않음</t>
        </is>
      </c>
      <c r="S850" s="3" t="inlineStr">
        <is>
          <t>전기타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대련리 25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29500</v>
      </c>
      <c r="G851" s="4" t="n">
        <v>771</v>
      </c>
      <c r="H851" s="4" t="n">
        <v>233</v>
      </c>
      <c r="I851" s="5" t="n">
        <v>126.6</v>
      </c>
      <c r="J851" s="5" t="n">
        <v>57.3</v>
      </c>
      <c r="K851" s="3" t="inlineStr">
        <is>
          <t>토지뒷편으로 마을동산이 있어요  전원주택지 자주좋아요</t>
        </is>
      </c>
      <c r="L851" s="6">
        <f>HYPERLINK("https://fin.land.naver.com/articles/2654711773", "매물Link")</f>
        <v/>
      </c>
      <c r="M851" s="6">
        <f>HYPERLINK("https://map.naver.com/p/search/남이면 대련리 25", "지도Link")</f>
        <v/>
      </c>
      <c r="N851" s="6">
        <f>HYPERLINK("http://www.eum.go.kr/web/ar/lu/luLandDet.jsp?pnu=4311231035100250000&amp;isNoScr=script&amp;mode=search", "토지이음")</f>
        <v/>
      </c>
      <c r="O851" s="3" t="inlineStr">
        <is>
          <t>신화</t>
        </is>
      </c>
      <c r="P851" s="4" t="n">
        <v>1</v>
      </c>
      <c r="Q851" s="4" t="n">
        <v>717.7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220000</v>
      </c>
      <c r="G852" s="4" t="n">
        <v>2062</v>
      </c>
      <c r="H852" s="4" t="n">
        <v>624</v>
      </c>
      <c r="I852" s="5" t="n">
        <v>352.6</v>
      </c>
      <c r="J852" s="5" t="n">
        <v>86</v>
      </c>
      <c r="K852" s="3" t="inlineStr">
        <is>
          <t>nan</t>
        </is>
      </c>
      <c r="L852" s="6">
        <f>HYPERLINK("https://fin.land.naver.com/articles/2651957545",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청주 합동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270-1</t>
        </is>
      </c>
      <c r="B853" s="3" t="inlineStr">
        <is>
          <t>자연녹지지역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270000</v>
      </c>
      <c r="G853" s="4" t="n">
        <v>2062</v>
      </c>
      <c r="H853" s="4" t="n">
        <v>624</v>
      </c>
      <c r="I853" s="5" t="n">
        <v>432.7</v>
      </c>
      <c r="J853" s="5" t="n">
        <v>86</v>
      </c>
      <c r="K853" s="3" t="inlineStr">
        <is>
          <t>대도로변 접, 다용도 활용가능한 잡종지, 유통 물류, 광고효과</t>
        </is>
      </c>
      <c r="L853" s="6">
        <f>HYPERLINK("https://fin.land.naver.com/articles/2650955489", "매물Link")</f>
        <v/>
      </c>
      <c r="M853" s="6">
        <f>HYPERLINK("https://map.naver.com/p/search/남이면 대련리 270-1", "지도Link")</f>
        <v/>
      </c>
      <c r="N853" s="6">
        <f>HYPERLINK("http://www.eum.go.kr/web/ar/lu/luLandDet.jsp?pnu=4311231035102700001&amp;isNoScr=script&amp;mode=search", "토지이음")</f>
        <v/>
      </c>
      <c r="O853" s="3" t="inlineStr">
        <is>
          <t>두진하트</t>
        </is>
      </c>
      <c r="P853" s="4" t="n">
        <v>1</v>
      </c>
      <c r="Q853" s="4" t="n">
        <v>987</v>
      </c>
      <c r="R853" s="3" t="inlineStr">
        <is>
          <t>지정되지않음</t>
        </is>
      </c>
      <c r="S853" s="3" t="inlineStr">
        <is>
          <t>공업용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137020</v>
      </c>
      <c r="G854" s="4" t="n">
        <v>3487</v>
      </c>
      <c r="H854" s="4" t="n">
        <v>1055</v>
      </c>
      <c r="I854" s="5" t="n">
        <v>129.9</v>
      </c>
      <c r="J854" s="5" t="n">
        <v>35.5</v>
      </c>
      <c r="K854" s="3" t="inlineStr">
        <is>
          <t>도로와 접한 모양 좋은 토지, 주변에 소규모공장 산재,공장,창고 등 추천</t>
        </is>
      </c>
      <c r="L854" s="6">
        <f>HYPERLINK("https://fin.land.naver.com/articles/2654599913",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바로그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75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168800</v>
      </c>
      <c r="G855" s="4" t="n">
        <v>3487</v>
      </c>
      <c r="H855" s="4" t="n">
        <v>1055</v>
      </c>
      <c r="I855" s="5" t="n">
        <v>160</v>
      </c>
      <c r="J855" s="5" t="n">
        <v>35.5</v>
      </c>
      <c r="K855" s="3" t="inlineStr">
        <is>
          <t>nan</t>
        </is>
      </c>
      <c r="L855" s="6">
        <f>HYPERLINK("https://fin.land.naver.com/articles/2652941172", "매물Link")</f>
        <v/>
      </c>
      <c r="M855" s="6">
        <f>HYPERLINK("https://map.naver.com/p/search/남이면 대련리 75", "지도Link")</f>
        <v/>
      </c>
      <c r="N855" s="6">
        <f>HYPERLINK("http://www.eum.go.kr/web/ar/lu/luLandDet.jsp?pnu=4311231035100750000&amp;isNoScr=script&amp;mode=search", "토지이음")</f>
        <v/>
      </c>
      <c r="O855" s="3" t="inlineStr">
        <is>
          <t>신화</t>
        </is>
      </c>
      <c r="P855" s="4" t="n">
        <v>1</v>
      </c>
      <c r="Q855" s="4" t="n">
        <v>3487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자루형</t>
        </is>
      </c>
      <c r="V855" s="3" t="inlineStr">
        <is>
          <t>세로한면(가)</t>
        </is>
      </c>
    </row>
    <row r="856">
      <c r="A856" s="3" t="inlineStr">
        <is>
          <t>남이면 대련리 88-1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10650</v>
      </c>
      <c r="G856" s="4" t="n">
        <v>236</v>
      </c>
      <c r="H856" s="4" t="n">
        <v>71</v>
      </c>
      <c r="I856" s="5" t="n">
        <v>150</v>
      </c>
      <c r="J856" s="5" t="n">
        <v>33.4</v>
      </c>
      <c r="K856" s="3" t="inlineStr">
        <is>
          <t>모든 건축행위 가능한 2차선 접한 귀한 소액물건</t>
        </is>
      </c>
      <c r="L856" s="6">
        <f>HYPERLINK("https://fin.land.naver.com/articles/2654659609", "매물Link")</f>
        <v/>
      </c>
      <c r="M856" s="6">
        <f>HYPERLINK("https://map.naver.com/p/search/남이면 대련리 88-1", "지도Link")</f>
        <v/>
      </c>
      <c r="N856" s="6">
        <f>HYPERLINK("http://www.eum.go.kr/web/ar/lu/luLandDet.jsp?pnu=4311231035100880001&amp;isNoScr=script&amp;mode=search", "토지이음")</f>
        <v/>
      </c>
      <c r="O856" s="3" t="inlineStr">
        <is>
          <t>세종</t>
        </is>
      </c>
      <c r="P856" s="4" t="n">
        <v>1</v>
      </c>
      <c r="Q856" s="4" t="n">
        <v>236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남이면 대련리 98-2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전</t>
        </is>
      </c>
      <c r="E857" s="3" t="inlineStr">
        <is>
          <t>매매</t>
        </is>
      </c>
      <c r="F857" s="4" t="n">
        <v>40000</v>
      </c>
      <c r="G857" s="4" t="n">
        <v>1884</v>
      </c>
      <c r="H857" s="4" t="n">
        <v>570</v>
      </c>
      <c r="I857" s="5" t="n">
        <v>70.2</v>
      </c>
      <c r="J857" s="5" t="n">
        <v>24.5</v>
      </c>
      <c r="K857" s="3" t="inlineStr">
        <is>
          <t>시내권  다양한용도 개발가능 급매</t>
        </is>
      </c>
      <c r="L857" s="6">
        <f>HYPERLINK("https://fin.land.naver.com/articles/2654005871", "매물Link")</f>
        <v/>
      </c>
      <c r="M857" s="6">
        <f>HYPERLINK("https://map.naver.com/p/search/남이면 대련리 98-2", "지도Link")</f>
        <v/>
      </c>
      <c r="N857" s="6">
        <f>HYPERLINK("http://www.eum.go.kr/web/ar/lu/luLandDet.jsp?pnu=4311231035100980002&amp;isNoScr=script&amp;mode=search", "토지이음")</f>
        <v/>
      </c>
      <c r="O857" s="3" t="inlineStr">
        <is>
          <t>청주지웰프로</t>
        </is>
      </c>
      <c r="P857" s="4" t="n">
        <v>1</v>
      </c>
      <c r="Q857" s="4" t="n">
        <v>1884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대련리 산56-3</t>
        </is>
      </c>
      <c r="B858" s="3" t="inlineStr">
        <is>
          <t>보전녹지지역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40000</v>
      </c>
      <c r="G858" s="4" t="n">
        <v>6557</v>
      </c>
      <c r="H858" s="4" t="n">
        <v>1983</v>
      </c>
      <c r="I858" s="5" t="n">
        <v>20.2</v>
      </c>
      <c r="J858" s="5" t="n">
        <v>3.3</v>
      </c>
      <c r="K858" s="3" t="inlineStr">
        <is>
          <t>남이면 대련리 임야 매매 차량 진입 원활 일부 밭 사용 가능 도시공원</t>
        </is>
      </c>
      <c r="L858" s="6">
        <f>HYPERLINK("https://fin.land.naver.com/articles/2652211222", "매물Link")</f>
        <v/>
      </c>
      <c r="M858" s="6">
        <f>HYPERLINK("https://map.naver.com/p/search/남이면 대련리 산56-3", "지도Link")</f>
        <v/>
      </c>
      <c r="N858" s="6">
        <f>HYPERLINK("http://www.eum.go.kr/web/ar/lu/luLandDet.jsp?pnu=4311231035200560003&amp;isNoScr=script&amp;mode=search", "토지이음")</f>
        <v/>
      </c>
      <c r="O858" s="3" t="inlineStr">
        <is>
          <t>그린</t>
        </is>
      </c>
      <c r="P858" s="4" t="n">
        <v>1</v>
      </c>
      <c r="Q858" s="4" t="n">
        <v>6557</v>
      </c>
      <c r="R858" s="3" t="inlineStr">
        <is>
          <t>자연녹지지역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문동리 143-1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29500</v>
      </c>
      <c r="G859" s="4" t="n">
        <v>978</v>
      </c>
      <c r="H859" s="4" t="n">
        <v>296</v>
      </c>
      <c r="I859" s="5" t="n">
        <v>99.7</v>
      </c>
      <c r="J859" s="5" t="n">
        <v>14.7</v>
      </c>
      <c r="K859" s="3" t="inlineStr">
        <is>
          <t>문동리 2차선도로 접합, 세리모텔근처, 충청살수환경옆</t>
        </is>
      </c>
      <c r="L859" s="6">
        <f>HYPERLINK("https://fin.land.naver.com/articles/2652439169", "매물Link")</f>
        <v/>
      </c>
      <c r="M859" s="6">
        <f>HYPERLINK("https://map.naver.com/p/search/남이면 문동리 143-1", "지도Link")</f>
        <v/>
      </c>
      <c r="N859" s="6">
        <f>HYPERLINK("http://www.eum.go.kr/web/ar/lu/luLandDet.jsp?pnu=4311231023101430001&amp;isNoScr=script&amp;mode=search", "토지이음")</f>
        <v/>
      </c>
      <c r="O859" s="3" t="inlineStr">
        <is>
          <t>길</t>
        </is>
      </c>
      <c r="P859" s="4" t="n">
        <v>1</v>
      </c>
      <c r="Q859" s="4" t="n">
        <v>978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192-1</t>
        </is>
      </c>
      <c r="B860" s="3" t="inlineStr">
        <is>
          <t>자연녹지지역</t>
        </is>
      </c>
      <c r="C860" s="3" t="inlineStr">
        <is>
          <t>잡종지</t>
        </is>
      </c>
      <c r="D860" s="3" t="inlineStr">
        <is>
          <t>잡종지</t>
        </is>
      </c>
      <c r="E860" s="3" t="inlineStr">
        <is>
          <t>매매</t>
        </is>
      </c>
      <c r="F860" s="4" t="n">
        <v>130000</v>
      </c>
      <c r="G860" s="4" t="n">
        <v>2395</v>
      </c>
      <c r="H860" s="4" t="n">
        <v>724</v>
      </c>
      <c r="I860" s="5" t="n">
        <v>179.6</v>
      </c>
      <c r="J860" s="5" t="n">
        <v>36.5</v>
      </c>
      <c r="K860" s="3" t="inlineStr">
        <is>
          <t>고물상, 쓰레기처리시설 추천</t>
        </is>
      </c>
      <c r="L860" s="6">
        <f>HYPERLINK("https://fin.land.naver.com/articles/2653577537", "매물Link")</f>
        <v/>
      </c>
      <c r="M860" s="6">
        <f>HYPERLINK("https://map.naver.com/p/search/남이면 문동리 192-1", "지도Link")</f>
        <v/>
      </c>
      <c r="N860" s="6">
        <f>HYPERLINK("http://www.eum.go.kr/web/ar/lu/luLandDet.jsp?pnu=4311231023101920001&amp;isNoScr=script&amp;mode=search", "토지이음")</f>
        <v/>
      </c>
      <c r="O860" s="3" t="inlineStr">
        <is>
          <t>노블</t>
        </is>
      </c>
      <c r="P860" s="4" t="n">
        <v>1</v>
      </c>
      <c r="Q860" s="4" t="n">
        <v>1520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205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38000</v>
      </c>
      <c r="G861" s="4" t="n">
        <v>1300</v>
      </c>
      <c r="H861" s="4" t="n">
        <v>393</v>
      </c>
      <c r="I861" s="5" t="n">
        <v>96.7</v>
      </c>
      <c r="J861" s="5" t="n">
        <v>80.8</v>
      </c>
      <c r="K861" s="3" t="inlineStr">
        <is>
          <t>nan</t>
        </is>
      </c>
      <c r="L861" s="6">
        <f>HYPERLINK("https://fin.land.naver.com/articles/2650890944", "매물Link")</f>
        <v/>
      </c>
      <c r="M861" s="6">
        <f>HYPERLINK("https://map.naver.com/p/search/남이면 문동리 205", "지도Link")</f>
        <v/>
      </c>
      <c r="N861" s="6">
        <f>HYPERLINK("http://www.eum.go.kr/web/ar/lu/luLandDet.jsp?pnu=4311231023102050000&amp;isNoScr=script&amp;mode=search",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940</v>
      </c>
      <c r="R861" s="3" t="inlineStr">
        <is>
          <t>지정되지않음</t>
        </is>
      </c>
      <c r="S861" s="3" t="inlineStr">
        <is>
          <t>상업용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21-1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대</t>
        </is>
      </c>
      <c r="E862" s="3" t="inlineStr">
        <is>
          <t>매매</t>
        </is>
      </c>
      <c r="F862" s="4" t="n">
        <v>11500</v>
      </c>
      <c r="G862" s="4" t="n">
        <v>760</v>
      </c>
      <c r="H862" s="4" t="n">
        <v>230</v>
      </c>
      <c r="I862" s="5" t="n">
        <v>50</v>
      </c>
      <c r="J862" s="5" t="n">
        <v>15.7</v>
      </c>
      <c r="K862" s="3" t="inlineStr">
        <is>
          <t>정남향의 전원주택지.바로옆에 도랑이 사계절 흐름.</t>
        </is>
      </c>
      <c r="L862" s="6">
        <f>HYPERLINK("https://fin.land.naver.com/articles/2651081704", "매물Link")</f>
        <v/>
      </c>
      <c r="M862" s="6">
        <f>HYPERLINK("https://map.naver.com/p/search/남이면 문동리 21-1", "지도Link")</f>
        <v/>
      </c>
      <c r="N862" s="6">
        <f>HYPERLINK("http://www.eum.go.kr/web/ar/lu/luLandDet.jsp?pnu=4311231023100210001&amp;isNoScr=script&amp;mode=search", "토지이음")</f>
        <v/>
      </c>
      <c r="O862" s="3" t="inlineStr">
        <is>
          <t>청와대합동사무소</t>
        </is>
      </c>
      <c r="P862" s="4" t="n">
        <v>1</v>
      </c>
      <c r="Q862" s="4" t="n">
        <v>261</v>
      </c>
      <c r="R862" s="3" t="inlineStr">
        <is>
          <t>지정되지않음</t>
        </is>
      </c>
      <c r="S862" s="3" t="inlineStr">
        <is>
          <t>전기타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234</t>
        </is>
      </c>
      <c r="B863" s="3" t="inlineStr">
        <is>
          <t>생산관리지역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23000</v>
      </c>
      <c r="G863" s="4" t="n">
        <v>3492</v>
      </c>
      <c r="H863" s="4" t="n">
        <v>1056</v>
      </c>
      <c r="I863" s="5" t="n">
        <v>21.8</v>
      </c>
      <c r="J863" s="5" t="n">
        <v>8.5</v>
      </c>
      <c r="K863" s="3" t="inlineStr">
        <is>
          <t>문동1리 북측, 블루베리 470주, 농막 포함.</t>
        </is>
      </c>
      <c r="L863" s="6">
        <f>HYPERLINK("https://fin.land.naver.com/articles/2654633261", "매물Link")</f>
        <v/>
      </c>
      <c r="M863" s="6">
        <f>HYPERLINK("https://map.naver.com/p/search/남이면 문동리 234", "지도Link")</f>
        <v/>
      </c>
      <c r="N863" s="6">
        <f>HYPERLINK("http://www.eum.go.kr/web/ar/lu/luLandDet.jsp?pnu=4311231023102340000&amp;isNoScr=script&amp;mode=search", "토지이음")</f>
        <v/>
      </c>
      <c r="O863" s="3" t="inlineStr">
        <is>
          <t>청주모충주공사모1·2재개발명성</t>
        </is>
      </c>
      <c r="P863" s="4" t="n">
        <v>1</v>
      </c>
      <c r="Q863" s="4" t="n">
        <v>1980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남이면 문동리 259-2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12100</v>
      </c>
      <c r="G864" s="4" t="n">
        <v>800</v>
      </c>
      <c r="H864" s="4" t="n">
        <v>242</v>
      </c>
      <c r="I864" s="5" t="n">
        <v>50</v>
      </c>
      <c r="J864" s="5" t="n">
        <v>14.5</v>
      </c>
      <c r="K864" s="3" t="inlineStr">
        <is>
          <t>남이면 문동리 토지매매</t>
        </is>
      </c>
      <c r="L864" s="6">
        <f>HYPERLINK("https://fin.land.naver.com/articles/2654947651", "매물Link")</f>
        <v/>
      </c>
      <c r="M864" s="6">
        <f>HYPERLINK("https://map.naver.com/p/search/남이면 문동리 259-2", "지도Link")</f>
        <v/>
      </c>
      <c r="N864" s="6">
        <f>HYPERLINK("http://www.eum.go.kr/web/ar/lu/luLandDet.jsp?pnu=4311231023102590002&amp;isNoScr=script&amp;mode=search",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800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262-1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12000</v>
      </c>
      <c r="G865" s="4" t="n">
        <v>629</v>
      </c>
      <c r="H865" s="4" t="n">
        <v>190</v>
      </c>
      <c r="I865" s="5" t="n">
        <v>63.2</v>
      </c>
      <c r="J865" s="5" t="n">
        <v>32.6</v>
      </c>
      <c r="K865" s="3" t="inlineStr">
        <is>
          <t>서원구 남이면 문동리 위치한 전원주택지입니다.</t>
        </is>
      </c>
      <c r="L865" s="6">
        <f>HYPERLINK("https://fin.land.naver.com/articles/2655591595", "매물Link")</f>
        <v/>
      </c>
      <c r="M865" s="6">
        <f>HYPERLINK("https://map.naver.com/p/search/남이면 문동리 262-1", "지도Link")</f>
        <v/>
      </c>
      <c r="N865" s="6">
        <f>HYPERLINK("http://www.eum.go.kr/web/ar/lu/luLandDet.jsp?pnu=4311231023102620001&amp;isNoScr=script&amp;mode=search",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629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문동리 264-3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10000</v>
      </c>
      <c r="G866" s="4" t="n">
        <v>555</v>
      </c>
      <c r="H866" s="4" t="n">
        <v>168</v>
      </c>
      <c r="I866" s="5" t="n">
        <v>59.5</v>
      </c>
      <c r="J866" s="5" t="n">
        <v>32.9</v>
      </c>
      <c r="K866" s="3" t="inlineStr">
        <is>
          <t>남이면 문동리 토지매매</t>
        </is>
      </c>
      <c r="L866" s="6">
        <f>HYPERLINK("https://fin.land.naver.com/articles/2654947097", "매물Link")</f>
        <v/>
      </c>
      <c r="M866" s="6">
        <f>HYPERLINK("https://map.naver.com/p/search/남이면 문동리 264-3", "지도Link")</f>
        <v/>
      </c>
      <c r="N866" s="6">
        <f>HYPERLINK("http://www.eum.go.kr/web/ar/lu/luLandDet.jsp?pnu=4311231023102640003&amp;isNoScr=script&amp;mode=search",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555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세로각지(가)</t>
        </is>
      </c>
    </row>
    <row r="867">
      <c r="A867" s="3" t="inlineStr">
        <is>
          <t>남이면 문동리 338-1</t>
        </is>
      </c>
      <c r="B867" s="3" t="inlineStr">
        <is>
          <t>생산관리지역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14000</v>
      </c>
      <c r="G867" s="4" t="n">
        <v>756</v>
      </c>
      <c r="H867" s="4" t="n">
        <v>229</v>
      </c>
      <c r="I867" s="5" t="n">
        <v>61.1</v>
      </c>
      <c r="J867" s="5" t="n">
        <v>13.6</v>
      </c>
      <c r="K867" s="3" t="inlineStr">
        <is>
          <t>2차선도로에 접한땅임.소매 물류창고추천</t>
        </is>
      </c>
      <c r="L867" s="6">
        <f>HYPERLINK("https://fin.land.naver.com/articles/2654708901", "매물Link")</f>
        <v/>
      </c>
      <c r="M867" s="6">
        <f>HYPERLINK("https://map.naver.com/p/search/남이면 문동리 338-1", "지도Link")</f>
        <v/>
      </c>
      <c r="N867" s="6">
        <f>HYPERLINK("http://www.eum.go.kr/web/ar/lu/luLandDet.jsp?pnu=4311231023103380001&amp;isNoScr=script&amp;mode=search", "토지이음")</f>
        <v/>
      </c>
      <c r="O867" s="3" t="inlineStr">
        <is>
          <t>포시즌</t>
        </is>
      </c>
      <c r="P867" s="4" t="n">
        <v>1</v>
      </c>
      <c r="Q867" s="4" t="n">
        <v>756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문동리 344</t>
        </is>
      </c>
      <c r="B868" s="3" t="inlineStr">
        <is>
          <t>자연환경보전지역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15000</v>
      </c>
      <c r="G868" s="4" t="n">
        <v>2939</v>
      </c>
      <c r="H868" s="4" t="n">
        <v>889</v>
      </c>
      <c r="I868" s="5" t="n">
        <v>16.9</v>
      </c>
      <c r="J868" s="5" t="n">
        <v>8.9</v>
      </c>
      <c r="K868" s="3" t="inlineStr">
        <is>
          <t>남이면 문동리 전 매매</t>
        </is>
      </c>
      <c r="L868" s="6">
        <f>HYPERLINK("https://fin.land.naver.com/articles/2656220089", "매물Link")</f>
        <v/>
      </c>
      <c r="M868" s="6">
        <f>HYPERLINK("https://map.naver.com/p/search/남이면 문동리 344", "지도Link")</f>
        <v/>
      </c>
      <c r="N868" s="6">
        <f>HYPERLINK("http://www.eum.go.kr/web/ar/lu/luLandDet.jsp?pnu=4311231023103440000&amp;isNoScr=script&amp;mode=search", "토지이음")</f>
        <v/>
      </c>
      <c r="O868" s="3" t="inlineStr">
        <is>
          <t>터와뜰</t>
        </is>
      </c>
      <c r="P868" s="4" t="n">
        <v>1</v>
      </c>
      <c r="Q868" s="4" t="n">
        <v>2939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문동리 477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9000</v>
      </c>
      <c r="G869" s="4" t="n">
        <v>734</v>
      </c>
      <c r="H869" s="4" t="n">
        <v>222</v>
      </c>
      <c r="I869" s="5" t="n">
        <v>40.5</v>
      </c>
      <c r="J869" s="5" t="n">
        <v>23</v>
      </c>
      <c r="K869" s="3" t="inlineStr">
        <is>
          <t>남청주 iC 에서 차로 15분 내 진입가능 토목공사 완료 됨 건축가능</t>
        </is>
      </c>
      <c r="L869" s="6">
        <f>HYPERLINK("https://fin.land.naver.com/articles/2650931497", "매물Link")</f>
        <v/>
      </c>
      <c r="M869" s="6">
        <f>HYPERLINK("https://map.naver.com/p/search/남이면 문동리 477", "지도Link")</f>
        <v/>
      </c>
      <c r="N869" s="6">
        <f>HYPERLINK("http://www.eum.go.kr/web/ar/lu/luLandDet.jsp?pnu=4311231023104770000&amp;isNoScr=script&amp;mode=search", "토지이음")</f>
        <v/>
      </c>
      <c r="O869" s="3" t="inlineStr">
        <is>
          <t>하나</t>
        </is>
      </c>
      <c r="P869" s="4" t="n">
        <v>1</v>
      </c>
      <c r="Q869" s="4" t="n">
        <v>734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자루형</t>
        </is>
      </c>
      <c r="V869" s="3" t="inlineStr">
        <is>
          <t>세로한면(불)</t>
        </is>
      </c>
    </row>
    <row r="870">
      <c r="A870" s="3" t="inlineStr">
        <is>
          <t>남이면 문동리 산26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78000</v>
      </c>
      <c r="G870" s="4" t="n">
        <v>3224</v>
      </c>
      <c r="H870" s="4" t="n">
        <v>975</v>
      </c>
      <c r="I870" s="5" t="n">
        <v>80</v>
      </c>
      <c r="J870" s="5" t="n">
        <v>30</v>
      </c>
      <c r="K870" s="3" t="inlineStr">
        <is>
          <t>nan</t>
        </is>
      </c>
      <c r="L870" s="6">
        <f>HYPERLINK("https://fin.land.naver.com/articles/2656179963", "매물Link")</f>
        <v/>
      </c>
      <c r="M870" s="6">
        <f>HYPERLINK("https://map.naver.com/p/search/남이면 문동리 산26", "지도Link")</f>
        <v/>
      </c>
      <c r="N870" s="6">
        <f>HYPERLINK("http://www.eum.go.kr/web/ar/lu/luLandDet.jsp?pnu=4311231023200260000&amp;isNoScr=script&amp;mode=search", "토지이음")</f>
        <v/>
      </c>
      <c r="O870" s="3" t="inlineStr">
        <is>
          <t>일등</t>
        </is>
      </c>
      <c r="P870" s="4" t="n">
        <v>1</v>
      </c>
      <c r="Q870" s="4" t="n">
        <v>772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1528</v>
      </c>
      <c r="H871" s="4" t="n">
        <v>462</v>
      </c>
      <c r="I871" s="5" t="n">
        <v>54.1</v>
      </c>
      <c r="J871" s="5" t="n">
        <v>29.7</v>
      </c>
      <c r="K871" s="3" t="inlineStr">
        <is>
          <t>문동리 토목공사 완료된 전원주택지 매매, 1종근생가능</t>
        </is>
      </c>
      <c r="L871" s="6">
        <f>HYPERLINK("https://fin.land.naver.com/articles/2653456144",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원탑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1749</v>
      </c>
      <c r="H872" s="4" t="n">
        <v>529</v>
      </c>
      <c r="I872" s="5" t="n">
        <v>47.3</v>
      </c>
      <c r="J872" s="5" t="n">
        <v>29.7</v>
      </c>
      <c r="K872" s="3" t="inlineStr">
        <is>
          <t>남이면 문동리 택지 매매 토목공사 완료 주택지 창고 근생등</t>
        </is>
      </c>
      <c r="L872" s="6">
        <f>HYPERLINK("https://fin.land.naver.com/articles/2652463956",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그린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산26-51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17000</v>
      </c>
      <c r="G873" s="4" t="n">
        <v>718</v>
      </c>
      <c r="H873" s="4" t="n">
        <v>217</v>
      </c>
      <c r="I873" s="5" t="n">
        <v>78.3</v>
      </c>
      <c r="J873" s="5" t="n">
        <v>30</v>
      </c>
      <c r="K873" s="3" t="inlineStr">
        <is>
          <t>남이면 문동리 토목공사 완료된 택지 매매 주택 세컨드하우스등 추천</t>
        </is>
      </c>
      <c r="L873" s="6">
        <f>HYPERLINK("https://fin.land.naver.com/articles/2652464628", "매물Link")</f>
        <v/>
      </c>
      <c r="M873" s="6">
        <f>HYPERLINK("https://map.naver.com/p/search/남이면 문동리 산26-51", "지도Link")</f>
        <v/>
      </c>
      <c r="N873" s="6">
        <f>HYPERLINK("http://www.eum.go.kr/web/ar/lu/luLandDet.jsp?pnu=4311231023200260051&amp;isNoScr=script&amp;mode=search",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652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산26-7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</v>
      </c>
      <c r="G874" s="4" t="n">
        <v>1435</v>
      </c>
      <c r="H874" s="4" t="n">
        <v>434</v>
      </c>
      <c r="I874" s="5" t="n">
        <v>34.6</v>
      </c>
      <c r="J874" s="5" t="n">
        <v>5.2</v>
      </c>
      <c r="K874" s="3" t="inlineStr">
        <is>
          <t>문동리한의사마을 전원주택지 매매</t>
        </is>
      </c>
      <c r="L874" s="6">
        <f>HYPERLINK("https://fin.land.naver.com/articles/2655329481", "매물Link")</f>
        <v/>
      </c>
      <c r="M874" s="6">
        <f>HYPERLINK("https://map.naver.com/p/search/남이면 문동리 산26-7", "지도Link")</f>
        <v/>
      </c>
      <c r="N874" s="6">
        <f>HYPERLINK("http://www.eum.go.kr/web/ar/lu/luLandDet.jsp?pnu=4311231023200260007&amp;isNoScr=script&amp;mode=search", "토지이음")</f>
        <v/>
      </c>
      <c r="O874" s="3" t="inlineStr">
        <is>
          <t>스피드</t>
        </is>
      </c>
      <c r="P874" s="4" t="n">
        <v>1</v>
      </c>
      <c r="Q874" s="4" t="n">
        <v>1435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1069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대</t>
        </is>
      </c>
      <c r="E876" s="3" t="inlineStr">
        <is>
          <t>매매</t>
        </is>
      </c>
      <c r="F876" s="4" t="n">
        <v>170000</v>
      </c>
      <c r="G876" s="4" t="n">
        <v>4513</v>
      </c>
      <c r="H876" s="4" t="n">
        <v>1365</v>
      </c>
      <c r="I876" s="5" t="n">
        <v>124.5</v>
      </c>
      <c r="J876" s="5" t="n">
        <v>45.3</v>
      </c>
      <c r="K876" s="3" t="inlineStr">
        <is>
          <t>nan</t>
        </is>
      </c>
      <c r="L876" s="6">
        <f>HYPERLINK("https://fin.land.naver.com/articles/2655019421", "매물Link")</f>
        <v/>
      </c>
      <c r="M876" s="6">
        <f>HYPERLINK("https://map.naver.com/p/search/남이면 부용외천리 1069", "지도Link")</f>
        <v/>
      </c>
      <c r="N876" s="6">
        <f>HYPERLINK("http://www.eum.go.kr/web/ar/lu/luLandDet.jsp?pnu=4311231040110690000&amp;isNoScr=script&amp;mode=search", "토지이음")</f>
        <v/>
      </c>
      <c r="O876" s="3" t="inlineStr">
        <is>
          <t>포도</t>
        </is>
      </c>
      <c r="P876" s="4" t="n">
        <v>1</v>
      </c>
      <c r="Q876" s="4" t="n">
        <v>2801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남이면 부용외천리 254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49700</v>
      </c>
      <c r="G877" s="4" t="n">
        <v>607</v>
      </c>
      <c r="H877" s="4" t="n">
        <v>184</v>
      </c>
      <c r="I877" s="5" t="n">
        <v>270.1</v>
      </c>
      <c r="J877" s="5" t="n">
        <v>67.09999999999999</v>
      </c>
      <c r="K877" s="3" t="inlineStr">
        <is>
          <t>남청주IC 인근 대로 접한 계획관리 토지</t>
        </is>
      </c>
      <c r="L877" s="6">
        <f>HYPERLINK("https://fin.land.naver.com/articles/2655630590", "매물Link")</f>
        <v/>
      </c>
      <c r="M877" s="6">
        <f>HYPERLINK("https://map.naver.com/p/search/남이면 부용외천리 254", "지도Link")</f>
        <v/>
      </c>
      <c r="N877" s="6">
        <f>HYPERLINK("http://www.eum.go.kr/web/ar/lu/luLandDet.jsp?pnu=4311231040102540000&amp;isNoScr=script&amp;mode=search", "토지이음")</f>
        <v/>
      </c>
      <c r="O877" s="3" t="inlineStr">
        <is>
          <t>정민</t>
        </is>
      </c>
      <c r="P877" s="4" t="n">
        <v>1</v>
      </c>
      <c r="Q877" s="4" t="n">
        <v>607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남이면 부용외천리 63-1</t>
        </is>
      </c>
      <c r="B878" s="3" t="inlineStr">
        <is>
          <t>계획관리지역</t>
        </is>
      </c>
      <c r="C878" s="3" t="inlineStr">
        <is>
          <t>창고용지</t>
        </is>
      </c>
      <c r="D878" s="3" t="inlineStr">
        <is>
          <t>창고용지</t>
        </is>
      </c>
      <c r="E878" s="3" t="inlineStr">
        <is>
          <t>매매</t>
        </is>
      </c>
      <c r="F878" s="4" t="n">
        <v>250000</v>
      </c>
      <c r="G878" s="4" t="n">
        <v>5703</v>
      </c>
      <c r="H878" s="4" t="n">
        <v>1725</v>
      </c>
      <c r="I878" s="5" t="n">
        <v>144.9</v>
      </c>
      <c r="J878" s="5" t="n">
        <v>33.1</v>
      </c>
      <c r="K878" s="3" t="inlineStr">
        <is>
          <t>남청주IC 인근, 토지 및 건축물 매매, 가격절충가능</t>
        </is>
      </c>
      <c r="L878" s="6">
        <f>HYPERLINK("https://fin.land.naver.com/articles/2651985023", "매물Link")</f>
        <v/>
      </c>
      <c r="M878" s="6">
        <f>HYPERLINK("https://map.naver.com/p/search/남이면 부용외천리 63-1", "지도Link")</f>
        <v/>
      </c>
      <c r="N878" s="6">
        <f>HYPERLINK("http://www.eum.go.kr/web/ar/lu/luLandDet.jsp?pnu=4311231040100630001&amp;isNoScr=script&amp;mode=search", "토지이음")</f>
        <v/>
      </c>
      <c r="O878" s="3" t="inlineStr">
        <is>
          <t>라인</t>
        </is>
      </c>
      <c r="P878" s="4" t="n">
        <v>1</v>
      </c>
      <c r="Q878" s="4" t="n">
        <v>4923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부용외천리 732-1</t>
        </is>
      </c>
      <c r="B879" s="3" t="inlineStr">
        <is>
          <t>보전관리지역</t>
        </is>
      </c>
      <c r="C879" s="3" t="inlineStr">
        <is>
          <t>전</t>
        </is>
      </c>
      <c r="D879" s="3" t="inlineStr">
        <is>
          <t>대</t>
        </is>
      </c>
      <c r="E879" s="3" t="inlineStr">
        <is>
          <t>매매</t>
        </is>
      </c>
      <c r="F879" s="4" t="n">
        <v>64200</v>
      </c>
      <c r="G879" s="4" t="n">
        <v>3538</v>
      </c>
      <c r="H879" s="4" t="n">
        <v>1070</v>
      </c>
      <c r="I879" s="5" t="n">
        <v>60</v>
      </c>
      <c r="J879" s="5" t="n">
        <v>13.7</v>
      </c>
      <c r="K879" s="3" t="inlineStr">
        <is>
          <t>도시인근 개발추천 ,명문골프장인근에 위치,금액은 조절가능함</t>
        </is>
      </c>
      <c r="L879" s="6">
        <f>HYPERLINK("https://fin.land.naver.com/articles/2655597604", "매물Link")</f>
        <v/>
      </c>
      <c r="M879" s="6">
        <f>HYPERLINK("https://map.naver.com/p/search/남이면 부용외천리 732-1", "지도Link")</f>
        <v/>
      </c>
      <c r="N879" s="6">
        <f>HYPERLINK("http://www.eum.go.kr/web/ar/lu/luLandDet.jsp?pnu=4311231040107320001&amp;isNoScr=script&amp;mode=search", "토지이음")</f>
        <v/>
      </c>
      <c r="O879" s="3" t="inlineStr">
        <is>
          <t>SB</t>
        </is>
      </c>
      <c r="P879" s="4" t="n">
        <v>1</v>
      </c>
      <c r="Q879" s="4" t="n">
        <v>3538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부용외천리 825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90000</v>
      </c>
      <c r="G880" s="4" t="n">
        <v>2192</v>
      </c>
      <c r="H880" s="4" t="n">
        <v>663</v>
      </c>
      <c r="I880" s="5" t="n">
        <v>135.7</v>
      </c>
      <c r="J880" s="5" t="n">
        <v>39.6</v>
      </c>
      <c r="K880" s="3" t="inlineStr">
        <is>
          <t>남청주IC 100M 이내,  토지 매매</t>
        </is>
      </c>
      <c r="L880" s="6">
        <f>HYPERLINK("https://fin.land.naver.com/articles/2655581073", "매물Link")</f>
        <v/>
      </c>
      <c r="M880" s="6">
        <f>HYPERLINK("https://map.naver.com/p/search/남이면 부용외천리 825", "지도Link")</f>
        <v/>
      </c>
      <c r="N880" s="6">
        <f>HYPERLINK("http://www.eum.go.kr/web/ar/lu/luLandDet.jsp?pnu=4311231040108250000&amp;isNoScr=script&amp;mode=search", "토지이음")</f>
        <v/>
      </c>
      <c r="O880" s="3" t="inlineStr">
        <is>
          <t>금화랜드</t>
        </is>
      </c>
      <c r="P880" s="4" t="n">
        <v>1</v>
      </c>
      <c r="Q880" s="4" t="n">
        <v>2192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자루형</t>
        </is>
      </c>
      <c r="V880" s="3" t="inlineStr">
        <is>
          <t>세로한면(가)</t>
        </is>
      </c>
    </row>
    <row r="881">
      <c r="A881" s="3" t="inlineStr">
        <is>
          <t>남이면 부용외천리 866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200000</v>
      </c>
      <c r="G881" s="4" t="n">
        <v>4423</v>
      </c>
      <c r="H881" s="4" t="n">
        <v>1338</v>
      </c>
      <c r="I881" s="5" t="n">
        <v>149.5</v>
      </c>
      <c r="J881" s="5" t="n">
        <v>37.3</v>
      </c>
      <c r="K881" s="3" t="inlineStr">
        <is>
          <t>남청주IC 삼거리 부근으로 접근성 좋고, 투자가치 좋은 부지</t>
        </is>
      </c>
      <c r="L881" s="6">
        <f>HYPERLINK("https://fin.land.naver.com/articles/2655436259", "매물Link")</f>
        <v/>
      </c>
      <c r="M881" s="6">
        <f>HYPERLINK("https://map.naver.com/p/search/남이면 부용외천리 866", "지도Link")</f>
        <v/>
      </c>
      <c r="N881" s="6">
        <f>HYPERLINK("http://www.eum.go.kr/web/ar/lu/luLandDet.jsp?pnu=4311231040108660000&amp;isNoScr=script&amp;mode=search", "토지이음")</f>
        <v/>
      </c>
      <c r="O881" s="3" t="inlineStr">
        <is>
          <t>(주)미르</t>
        </is>
      </c>
      <c r="P881" s="4" t="n">
        <v>1</v>
      </c>
      <c r="Q881" s="4" t="n">
        <v>1656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4066</v>
      </c>
      <c r="H889" s="4" t="n">
        <v>1230</v>
      </c>
      <c r="I889" s="5" t="n">
        <v>150.4</v>
      </c>
      <c r="J889" s="5" t="n">
        <v>28.9</v>
      </c>
      <c r="K889" s="3" t="inlineStr">
        <is>
          <t>만땅 1230 p 개발행위 득한 도로접한 나대지 계획관리</t>
        </is>
      </c>
      <c r="L889" s="6">
        <f>HYPERLINK("https://fin.land.naver.com/articles/2654561971",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585</v>
      </c>
      <c r="H890" s="4" t="n">
        <v>177</v>
      </c>
      <c r="I890" s="5" t="n">
        <v>1045.2</v>
      </c>
      <c r="J890" s="5" t="n">
        <v>28.9</v>
      </c>
      <c r="K890" s="3" t="inlineStr">
        <is>
          <t>o사진o 계획관리 도로접한 공장용지</t>
        </is>
      </c>
      <c r="L890" s="6">
        <f>HYPERLINK("https://fin.land.naver.com/articles/2654399449",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토지매매</t>
        </is>
      </c>
      <c r="L897" s="6">
        <f>HYPERLINK("https://fin.land.naver.com/articles/2653622570",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스피드</t>
        </is>
      </c>
      <c r="P897" s="4" t="n">
        <v>1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55090</v>
      </c>
      <c r="G898" s="4" t="n">
        <v>2603</v>
      </c>
      <c r="H898" s="4" t="n">
        <v>787</v>
      </c>
      <c r="I898" s="5" t="n">
        <v>70</v>
      </c>
      <c r="J898" s="5" t="n">
        <v>16.7</v>
      </c>
      <c r="K898" s="3" t="inlineStr">
        <is>
          <t>남이면 상발리 토지매매</t>
        </is>
      </c>
      <c r="L898" s="6">
        <f>HYPERLINK("https://fin.land.naver.com/articles/2655890805",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도로 접한 토지</t>
        </is>
      </c>
      <c r="L899" s="6">
        <f>HYPERLINK("https://fin.land.naver.com/articles/2655671708",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더원</t>
        </is>
      </c>
      <c r="P899" s="4" t="n">
        <v>5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16-2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245000</v>
      </c>
      <c r="G900" s="4" t="n">
        <v>8008</v>
      </c>
      <c r="H900" s="4" t="n">
        <v>2422</v>
      </c>
      <c r="I900" s="5" t="n">
        <v>101.2</v>
      </c>
      <c r="J900" s="5" t="n">
        <v>31.6</v>
      </c>
      <c r="K900" s="3" t="inlineStr">
        <is>
          <t>청주 남이면 상발리, 투자개발 최적지 토지 매매</t>
        </is>
      </c>
      <c r="L900" s="6">
        <f>HYPERLINK("https://fin.land.naver.com/articles/2656162722", "매물Link")</f>
        <v/>
      </c>
      <c r="M900" s="6">
        <f>HYPERLINK("https://map.naver.com/p/search/남이면 상발리 16-2", "지도Link")</f>
        <v/>
      </c>
      <c r="N900" s="6">
        <f>HYPERLINK("http://www.eum.go.kr/web/ar/lu/luLandDet.jsp?pnu=4311231031100160002&amp;isNoScr=script&amp;mode=search", "토지이음")</f>
        <v/>
      </c>
      <c r="O900" s="3" t="inlineStr">
        <is>
          <t>대지</t>
        </is>
      </c>
      <c r="P900" s="4" t="n">
        <v>1</v>
      </c>
      <c r="Q900" s="4" t="n">
        <v>2865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세로각지(가)</t>
        </is>
      </c>
    </row>
    <row r="901">
      <c r="A901" s="3" t="inlineStr">
        <is>
          <t>남이면 상발리 27-1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48000</v>
      </c>
      <c r="G901" s="4" t="n">
        <v>990</v>
      </c>
      <c r="H901" s="4" t="n">
        <v>299</v>
      </c>
      <c r="I901" s="5" t="n">
        <v>160.5</v>
      </c>
      <c r="J901" s="5" t="n">
        <v>37.7</v>
      </c>
      <c r="K901" s="3" t="inlineStr">
        <is>
          <t>2차선 도로변에 접하고 있음, 접근성 뛰어남, 소형 토지 투자로 적합</t>
        </is>
      </c>
      <c r="L901" s="6">
        <f>HYPERLINK("https://fin.land.naver.com/articles/2655068048", "매물Link")</f>
        <v/>
      </c>
      <c r="M901" s="6">
        <f>HYPERLINK("https://map.naver.com/p/search/남이면 상발리 27-1", "지도Link")</f>
        <v/>
      </c>
      <c r="N901" s="6">
        <f>HYPERLINK("http://www.eum.go.kr/web/ar/lu/luLandDet.jsp?pnu=4311231031100270001&amp;isNoScr=script&amp;mode=search", "토지이음")</f>
        <v/>
      </c>
      <c r="O901" s="3" t="inlineStr">
        <is>
          <t>제이</t>
        </is>
      </c>
      <c r="P901" s="4" t="n">
        <v>3</v>
      </c>
      <c r="Q901" s="4" t="n">
        <v>990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남이면 상발리 산14-35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24200</v>
      </c>
      <c r="G902" s="4" t="n">
        <v>660</v>
      </c>
      <c r="H902" s="4" t="n">
        <v>200</v>
      </c>
      <c r="I902" s="5" t="n">
        <v>121</v>
      </c>
      <c r="J902" s="5" t="n">
        <v>2.9</v>
      </c>
      <c r="K902" s="3" t="inlineStr">
        <is>
          <t>전원주택 부지로 최적</t>
        </is>
      </c>
      <c r="L902" s="6">
        <f>HYPERLINK("https://fin.land.naver.com/articles/2654984064", "매물Link")</f>
        <v/>
      </c>
      <c r="M902" s="6">
        <f>HYPERLINK("https://map.naver.com/p/search/남이면 상발리 산14-35", "지도Link")</f>
        <v/>
      </c>
      <c r="N902" s="6">
        <f>HYPERLINK("http://www.eum.go.kr/web/ar/lu/luLandDet.jsp?pnu=4311231031200140035&amp;isNoScr=script&amp;mode=search", "토지이음")</f>
        <v/>
      </c>
      <c r="O902" s="3" t="inlineStr">
        <is>
          <t>다미</t>
        </is>
      </c>
      <c r="P902" s="4" t="n">
        <v>2</v>
      </c>
      <c r="Q902" s="4" t="n">
        <v>660</v>
      </c>
      <c r="R902" s="3" t="inlineStr">
        <is>
          <t>지정되지않음</t>
        </is>
      </c>
      <c r="S902" s="3" t="inlineStr">
        <is>
          <t>임야기타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석실리 198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25000</v>
      </c>
      <c r="G903" s="4" t="n">
        <v>591</v>
      </c>
      <c r="H903" s="4" t="n">
        <v>179</v>
      </c>
      <c r="I903" s="5" t="n">
        <v>139.7</v>
      </c>
      <c r="J903" s="5" t="n">
        <v>62.1</v>
      </c>
      <c r="K903" s="3" t="inlineStr">
        <is>
          <t>석실리  전원생활 꿈꾸시는분께 추천합니다.</t>
        </is>
      </c>
      <c r="L903" s="6">
        <f>HYPERLINK("https://fin.land.naver.com/articles/2656407497", "매물Link")</f>
        <v/>
      </c>
      <c r="M903" s="6">
        <f>HYPERLINK("https://map.naver.com/p/search/남이면 석실리 198", "지도Link")</f>
        <v/>
      </c>
      <c r="N903" s="6">
        <f>HYPERLINK("http://www.eum.go.kr/web/ar/lu/luLandDet.jsp?pnu=4311231033101980000&amp;isNoScr=script&amp;mode=search", "토지이음")</f>
        <v/>
      </c>
      <c r="O903" s="3" t="inlineStr">
        <is>
          <t>용암해온</t>
        </is>
      </c>
      <c r="P903" s="4" t="n">
        <v>1</v>
      </c>
      <c r="Q903" s="4" t="n">
        <v>591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석실리 222-2</t>
        </is>
      </c>
      <c r="B904" s="3" t="inlineStr">
        <is>
          <t>자연녹지지역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102000</v>
      </c>
      <c r="G904" s="4" t="n">
        <v>2050</v>
      </c>
      <c r="H904" s="4" t="n">
        <v>620</v>
      </c>
      <c r="I904" s="5" t="n">
        <v>164.5</v>
      </c>
      <c r="J904" s="5" t="n">
        <v>43.6</v>
      </c>
      <c r="K904" s="3" t="inlineStr">
        <is>
          <t>nan</t>
        </is>
      </c>
      <c r="L904" s="6">
        <f>HYPERLINK("https://fin.land.naver.com/articles/2654684126", "매물Link")</f>
        <v/>
      </c>
      <c r="M904" s="6">
        <f>HYPERLINK("https://map.naver.com/p/search/남이면 석실리 222-2", "지도Link")</f>
        <v/>
      </c>
      <c r="N904" s="6">
        <f>HYPERLINK("http://www.eum.go.kr/web/ar/lu/luLandDet.jsp?pnu=4311231033102220002&amp;isNoScr=script&amp;mode=search",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2050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석판리 129-1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88000</v>
      </c>
      <c r="G913" s="4" t="n">
        <v>1007</v>
      </c>
      <c r="H913" s="4" t="n">
        <v>305</v>
      </c>
      <c r="I913" s="5" t="n">
        <v>288.5</v>
      </c>
      <c r="J913" s="5" t="n">
        <v>47.5</v>
      </c>
      <c r="K913" s="3" t="inlineStr">
        <is>
          <t>사진有 석판리 2차선 도로옆 토지매매 공장창고 상가건물 추천</t>
        </is>
      </c>
      <c r="L913" s="6">
        <f>HYPERLINK("https://fin.land.naver.com/articles/2653063879", "매물Link")</f>
        <v/>
      </c>
      <c r="M913" s="6">
        <f>HYPERLINK("https://map.naver.com/p/search/남이면 석판리 129-1", "지도Link")</f>
        <v/>
      </c>
      <c r="N913" s="6">
        <f>HYPERLINK("http://www.eum.go.kr/web/ar/lu/luLandDet.jsp?pnu=4311231034101290001&amp;isNoScr=script&amp;mode=search", "토지이음")</f>
        <v/>
      </c>
      <c r="O913" s="3" t="inlineStr">
        <is>
          <t>행복도시</t>
        </is>
      </c>
      <c r="P913" s="4" t="n">
        <v>1</v>
      </c>
      <c r="Q913" s="4" t="n">
        <v>562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석판리 131-1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403000</v>
      </c>
      <c r="G914" s="4" t="n">
        <v>5795</v>
      </c>
      <c r="H914" s="4" t="n">
        <v>1753</v>
      </c>
      <c r="I914" s="5" t="n">
        <v>229.9</v>
      </c>
      <c r="J914" s="5" t="n">
        <v>47.5</v>
      </c>
      <c r="K914" s="3" t="inlineStr">
        <is>
          <t>2차선도로접 성토완료 4필지매매 시세이하 투자및 공장추천</t>
        </is>
      </c>
      <c r="L914" s="6">
        <f>HYPERLINK("https://fin.land.naver.com/articles/2654056470", "매물Link")</f>
        <v/>
      </c>
      <c r="M914" s="6">
        <f>HYPERLINK("https://map.naver.com/p/search/남이면 석판리 131-1", "지도Link")</f>
        <v/>
      </c>
      <c r="N914" s="6">
        <f>HYPERLINK("http://www.eum.go.kr/web/ar/lu/luLandDet.jsp?pnu=4311231034101310001&amp;isNoScr=script&amp;mode=search",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1854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139-5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답</t>
        </is>
      </c>
      <c r="E915" s="3" t="inlineStr">
        <is>
          <t>매매</t>
        </is>
      </c>
      <c r="F915" s="4" t="n">
        <v>438000</v>
      </c>
      <c r="G915" s="4" t="n">
        <v>5791</v>
      </c>
      <c r="H915" s="4" t="n">
        <v>1752</v>
      </c>
      <c r="I915" s="5" t="n">
        <v>250</v>
      </c>
      <c r="J915" s="5" t="n">
        <v>116.5</v>
      </c>
      <c r="K915" s="3" t="inlineStr">
        <is>
          <t>돈되는 투자처 모든 개발호재 독식 석판리 제2종근생 제조 개발허가득</t>
        </is>
      </c>
      <c r="L915" s="6">
        <f>HYPERLINK("https://fin.land.naver.com/articles/2652823732", "매물Link")</f>
        <v/>
      </c>
      <c r="M915" s="6">
        <f>HYPERLINK("https://map.naver.com/p/search/남이면 석판리 139-5", "지도Link")</f>
        <v/>
      </c>
      <c r="N915" s="6">
        <f>HYPERLINK("http://www.eum.go.kr/web/ar/lu/luLandDet.jsp?pnu=4311231034101390005&amp;isNoScr=script&amp;mode=search", "토지이음")</f>
        <v/>
      </c>
      <c r="O915" s="3" t="inlineStr">
        <is>
          <t>그랜드사무소</t>
        </is>
      </c>
      <c r="P915" s="4" t="n">
        <v>1</v>
      </c>
      <c r="Q915" s="4" t="n">
        <v>3120</v>
      </c>
      <c r="R915" s="3" t="inlineStr">
        <is>
          <t>지정되지않음</t>
        </is>
      </c>
      <c r="S915" s="3" t="inlineStr">
        <is>
          <t>주상기타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222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17000</v>
      </c>
      <c r="G916" s="4" t="n">
        <v>420</v>
      </c>
      <c r="H916" s="4" t="n">
        <v>127</v>
      </c>
      <c r="I916" s="5" t="n">
        <v>133.9</v>
      </c>
      <c r="J916" s="5" t="n">
        <v>38.7</v>
      </c>
      <c r="K916" s="3" t="inlineStr">
        <is>
          <t>밭, 포장도로 접, 가격 절충, 주말농장 하다가 전원주택 지을 분 환영</t>
        </is>
      </c>
      <c r="L916" s="6">
        <f>HYPERLINK("https://fin.land.naver.com/articles/2655790053", "매물Link")</f>
        <v/>
      </c>
      <c r="M916" s="6">
        <f>HYPERLINK("https://map.naver.com/p/search/남이면 석판리 222", "지도Link")</f>
        <v/>
      </c>
      <c r="N916" s="6">
        <f>HYPERLINK("http://www.eum.go.kr/web/ar/lu/luLandDet.jsp?pnu=4311231034102220000&amp;isNoScr=script&amp;mode=search", "토지이음")</f>
        <v/>
      </c>
      <c r="O916" s="3" t="inlineStr">
        <is>
          <t>큰터</t>
        </is>
      </c>
      <c r="P916" s="4" t="n">
        <v>1</v>
      </c>
      <c r="Q916" s="4" t="n">
        <v>420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석판리 248-1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49600</v>
      </c>
      <c r="G917" s="4" t="n">
        <v>1364</v>
      </c>
      <c r="H917" s="4" t="n">
        <v>413</v>
      </c>
      <c r="I917" s="5" t="n">
        <v>120.1</v>
      </c>
      <c r="J917" s="5" t="n">
        <v>23.1</v>
      </c>
      <c r="K917" s="3" t="inlineStr">
        <is>
          <t>nan</t>
        </is>
      </c>
      <c r="L917" s="6">
        <f>HYPERLINK("https://fin.land.naver.com/articles/2651049567", "매물Link")</f>
        <v/>
      </c>
      <c r="M917" s="6">
        <f>HYPERLINK("https://map.naver.com/p/search/남이면 석판리 248-1", "지도Link")</f>
        <v/>
      </c>
      <c r="N917" s="6">
        <f>HYPERLINK("http://www.eum.go.kr/web/ar/lu/luLandDet.jsp?pnu=4311231034102480001&amp;isNoScr=script&amp;mode=search", "토지이음")</f>
        <v/>
      </c>
      <c r="O917" s="3" t="inlineStr">
        <is>
          <t>오송파라곤하늘</t>
        </is>
      </c>
      <c r="P917" s="4" t="n">
        <v>1</v>
      </c>
      <c r="Q917" s="4" t="n">
        <v>1364.4</v>
      </c>
      <c r="R917" s="3" t="inlineStr">
        <is>
          <t>보전녹지지역</t>
        </is>
      </c>
      <c r="S917" s="3" t="inlineStr">
        <is>
          <t>전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석판리 26-1</t>
        </is>
      </c>
      <c r="B918" s="3" t="inlineStr">
        <is>
          <t>자연녹지지역</t>
        </is>
      </c>
      <c r="C918" s="3" t="inlineStr">
        <is>
          <t>잡종지</t>
        </is>
      </c>
      <c r="D918" s="3" t="inlineStr">
        <is>
          <t>잡종지</t>
        </is>
      </c>
      <c r="E918" s="3" t="inlineStr">
        <is>
          <t>매매</t>
        </is>
      </c>
      <c r="F918" s="4" t="n">
        <v>169400</v>
      </c>
      <c r="G918" s="4" t="n">
        <v>1600</v>
      </c>
      <c r="H918" s="4" t="n">
        <v>484</v>
      </c>
      <c r="I918" s="5" t="n">
        <v>350</v>
      </c>
      <c r="J918" s="5" t="n">
        <v>140.4</v>
      </c>
      <c r="K918" s="3" t="inlineStr">
        <is>
          <t>석판리 대로변 토지 매매 .광고효과 최고</t>
        </is>
      </c>
      <c r="L918" s="6">
        <f>HYPERLINK("https://fin.land.naver.com/articles/2653458319", "매물Link")</f>
        <v/>
      </c>
      <c r="M918" s="6">
        <f>HYPERLINK("https://map.naver.com/p/search/남이면 석판리 26-1", "지도Link")</f>
        <v/>
      </c>
      <c r="N918" s="6">
        <f>HYPERLINK("http://www.eum.go.kr/web/ar/lu/luLandDet.jsp?pnu=4311231034100260001&amp;isNoScr=script&amp;mode=search", "토지이음")</f>
        <v/>
      </c>
      <c r="O918" s="3" t="inlineStr">
        <is>
          <t>방서에이스</t>
        </is>
      </c>
      <c r="P918" s="4" t="n">
        <v>1</v>
      </c>
      <c r="Q918" s="4" t="n">
        <v>660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소로한면</t>
        </is>
      </c>
    </row>
    <row r="919">
      <c r="A919" s="3" t="inlineStr">
        <is>
          <t>남이면 석판리 26-11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170000</v>
      </c>
      <c r="G919" s="4" t="n">
        <v>1600</v>
      </c>
      <c r="H919" s="4" t="n">
        <v>484</v>
      </c>
      <c r="I919" s="5" t="n">
        <v>351.2</v>
      </c>
      <c r="J919" s="5" t="n">
        <v>43.9</v>
      </c>
      <c r="K919" s="3" t="inlineStr">
        <is>
          <t>남이면 석판리 왕복2차선 도로 접한 토지 매매</t>
        </is>
      </c>
      <c r="L919" s="6">
        <f>HYPERLINK("https://fin.land.naver.com/articles/2654683399", "매물Link")</f>
        <v/>
      </c>
      <c r="M919" s="6">
        <f>HYPERLINK("https://map.naver.com/p/search/남이면 석판리 26-11", "지도Link")</f>
        <v/>
      </c>
      <c r="N919" s="6">
        <f>HYPERLINK("http://www.eum.go.kr/web/ar/lu/luLandDet.jsp?pnu=4311231034100260011&amp;isNoScr=script&amp;mode=search", "토지이음")</f>
        <v/>
      </c>
      <c r="O919" s="3" t="inlineStr">
        <is>
          <t>대지</t>
        </is>
      </c>
      <c r="P919" s="4" t="n">
        <v>1</v>
      </c>
      <c r="Q919" s="4" t="n">
        <v>941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석판리 265-1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118800</v>
      </c>
      <c r="G920" s="4" t="n">
        <v>2453</v>
      </c>
      <c r="H920" s="4" t="n">
        <v>742</v>
      </c>
      <c r="I920" s="5" t="n">
        <v>160.1</v>
      </c>
      <c r="J920" s="5" t="n">
        <v>50.2</v>
      </c>
      <c r="K920" s="3" t="inlineStr">
        <is>
          <t>사진有 석판리 토지 매매. 주말농장, 전원주택부지 추천</t>
        </is>
      </c>
      <c r="L920" s="6">
        <f>HYPERLINK("https://fin.land.naver.com/articles/2654908264", "매물Link")</f>
        <v/>
      </c>
      <c r="M920" s="6">
        <f>HYPERLINK("https://map.naver.com/p/search/남이면 석판리 265-1", "지도Link")</f>
        <v/>
      </c>
      <c r="N920" s="6">
        <f>HYPERLINK("http://www.eum.go.kr/web/ar/lu/luLandDet.jsp?pnu=4311231034102650001&amp;isNoScr=script&amp;mode=search",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2453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220000</v>
      </c>
      <c r="G921" s="4" t="n">
        <v>1462</v>
      </c>
      <c r="H921" s="4" t="n">
        <v>442</v>
      </c>
      <c r="I921" s="5" t="n">
        <v>497.7</v>
      </c>
      <c r="J921" s="5" t="n">
        <v>210</v>
      </c>
      <c r="K921" s="3" t="inlineStr">
        <is>
          <t>2종 근생건물 토지 제조업 허가 매매 향후 투자가치 좋음</t>
        </is>
      </c>
      <c r="L921" s="6">
        <f>HYPERLINK("https://fin.land.naver.com/articles/2652729659", "매물Link")</f>
        <v/>
      </c>
      <c r="M921" s="6">
        <f>HYPERLINK("https://map.naver.com/p/search/남이면 석판리 3-1", "지도Link")</f>
        <v/>
      </c>
      <c r="N921" s="6">
        <f>HYPERLINK("http://www.eum.go.kr/web/ar/lu/luLandDet.jsp?pnu=4311231034100030001&amp;isNoScr=script&amp;mode=search", "토지이음")</f>
        <v/>
      </c>
      <c r="O921" s="3" t="inlineStr">
        <is>
          <t>반석</t>
        </is>
      </c>
      <c r="P921" s="4" t="n">
        <v>1</v>
      </c>
      <c r="Q921" s="4" t="n">
        <v>1462</v>
      </c>
      <c r="R921" s="3" t="inlineStr">
        <is>
          <t>지정되지않음</t>
        </is>
      </c>
      <c r="S921" s="3" t="inlineStr">
        <is>
          <t>상업기타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중로한면</t>
        </is>
      </c>
    </row>
    <row r="922">
      <c r="A922" s="3" t="inlineStr">
        <is>
          <t>남이면 석판리 313-2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70000</v>
      </c>
      <c r="G922" s="4" t="n">
        <v>2014</v>
      </c>
      <c r="H922" s="4" t="n">
        <v>609</v>
      </c>
      <c r="I922" s="5" t="n">
        <v>114.9</v>
      </c>
      <c r="J922" s="5" t="n">
        <v>49.9</v>
      </c>
      <c r="K922" s="3" t="inlineStr">
        <is>
          <t>공장 및 창고용도</t>
        </is>
      </c>
      <c r="L922" s="6">
        <f>HYPERLINK("https://fin.land.naver.com/articles/2655486050", "매물Link")</f>
        <v/>
      </c>
      <c r="M922" s="6">
        <f>HYPERLINK("https://map.naver.com/p/search/남이면 석판리 313-2", "지도Link")</f>
        <v/>
      </c>
      <c r="N922" s="6">
        <f>HYPERLINK("http://www.eum.go.kr/web/ar/lu/luLandDet.jsp?pnu=4311231034103130002&amp;isNoScr=script&amp;mode=search", "토지이음")</f>
        <v/>
      </c>
      <c r="O922" s="3" t="inlineStr">
        <is>
          <t>일품</t>
        </is>
      </c>
      <c r="P922" s="4" t="n">
        <v>1</v>
      </c>
      <c r="Q922" s="4" t="n">
        <v>2014.9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남이면 석판리 354-1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77000</v>
      </c>
      <c r="G923" s="4" t="n">
        <v>3266</v>
      </c>
      <c r="H923" s="4" t="n">
        <v>988</v>
      </c>
      <c r="I923" s="5" t="n">
        <v>77.90000000000001</v>
      </c>
      <c r="J923" s="5" t="n">
        <v>34.9</v>
      </c>
      <c r="K923" s="3" t="inlineStr">
        <is>
          <t>nan</t>
        </is>
      </c>
      <c r="L923" s="6">
        <f>HYPERLINK("https://fin.land.naver.com/articles/2655484682", "매물Link")</f>
        <v/>
      </c>
      <c r="M923" s="6">
        <f>HYPERLINK("https://map.naver.com/p/search/남이면 석판리 354-1", "지도Link")</f>
        <v/>
      </c>
      <c r="N923" s="6">
        <f>HYPERLINK("http://www.eum.go.kr/web/ar/lu/luLandDet.jsp?pnu=4311231034103540001&amp;isNoScr=script&amp;mode=search", "토지이음")</f>
        <v/>
      </c>
      <c r="O923" s="3" t="inlineStr">
        <is>
          <t>일등</t>
        </is>
      </c>
      <c r="P923" s="4" t="n">
        <v>1</v>
      </c>
      <c r="Q923" s="4" t="n">
        <v>3266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남이면 석판리 61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45000</v>
      </c>
      <c r="G924" s="4" t="n">
        <v>946</v>
      </c>
      <c r="H924" s="4" t="n">
        <v>286</v>
      </c>
      <c r="I924" s="5" t="n">
        <v>157.3</v>
      </c>
      <c r="J924" s="5" t="n">
        <v>56.9</v>
      </c>
      <c r="K924" s="3" t="inlineStr">
        <is>
          <t>밭, 터미널에서 5분 거리로 접근성 양호, 주말농장 하다가 집 지을 분</t>
        </is>
      </c>
      <c r="L924" s="6">
        <f>HYPERLINK("https://fin.land.naver.com/articles/2655789379", "매물Link")</f>
        <v/>
      </c>
      <c r="M924" s="6">
        <f>HYPERLINK("https://map.naver.com/p/search/남이면 석판리 61", "지도Link")</f>
        <v/>
      </c>
      <c r="N924" s="6">
        <f>HYPERLINK("http://www.eum.go.kr/web/ar/lu/luLandDet.jsp?pnu=4311231034100610000&amp;isNoScr=script&amp;mode=search", "토지이음")</f>
        <v/>
      </c>
      <c r="O924" s="3" t="inlineStr">
        <is>
          <t>큰터</t>
        </is>
      </c>
      <c r="P924" s="4" t="n">
        <v>2</v>
      </c>
      <c r="Q924" s="4" t="n">
        <v>946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석판리 산22-6</t>
        </is>
      </c>
      <c r="B925" s="3" t="inlineStr">
        <is>
          <t>자연녹지지역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25400</v>
      </c>
      <c r="G925" s="4" t="n">
        <v>560</v>
      </c>
      <c r="H925" s="4" t="n">
        <v>169</v>
      </c>
      <c r="I925" s="5" t="n">
        <v>150.3</v>
      </c>
      <c r="J925" s="5" t="n">
        <v>22.9</v>
      </c>
      <c r="K925" s="3" t="inlineStr">
        <is>
          <t>허가득한 토지로 바로 건축가능합니다.</t>
        </is>
      </c>
      <c r="L925" s="6">
        <f>HYPERLINK("https://fin.land.naver.com/articles/2651705689", "매물Link")</f>
        <v/>
      </c>
      <c r="M925" s="6">
        <f>HYPERLINK("https://map.naver.com/p/search/남이면 석판리 산22-6", "지도Link")</f>
        <v/>
      </c>
      <c r="N925" s="6">
        <f>HYPERLINK("http://www.eum.go.kr/web/ar/lu/luLandDet.jsp?pnu=4311231034200220006&amp;isNoScr=script&amp;mode=search", "토지이음")</f>
        <v/>
      </c>
      <c r="O925" s="3" t="inlineStr">
        <is>
          <t>터사랑</t>
        </is>
      </c>
      <c r="P925" s="4" t="n">
        <v>1</v>
      </c>
      <c r="Q925" s="4" t="n">
        <v>498</v>
      </c>
      <c r="R925" s="3" t="inlineStr">
        <is>
          <t>지정되지않음</t>
        </is>
      </c>
      <c r="S925" s="3" t="inlineStr">
        <is>
          <t>자연림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남이면 수대리 1-29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42000</v>
      </c>
      <c r="G926" s="4" t="n">
        <v>1000</v>
      </c>
      <c r="H926" s="4" t="n">
        <v>302</v>
      </c>
      <c r="I926" s="5" t="n">
        <v>139.1</v>
      </c>
      <c r="J926" s="5" t="n">
        <v>69.2</v>
      </c>
      <c r="K926" s="3" t="inlineStr">
        <is>
          <t>남이면수대리위치좋은토지저렴하게매매,금액협의</t>
        </is>
      </c>
      <c r="L926" s="6">
        <f>HYPERLINK("https://fin.land.naver.com/articles/2653463929", "매물Link")</f>
        <v/>
      </c>
      <c r="M926" s="6">
        <f>HYPERLINK("https://map.naver.com/p/search/남이면 수대리 1-29", "지도Link")</f>
        <v/>
      </c>
      <c r="N926" s="6">
        <f>HYPERLINK("http://www.eum.go.kr/web/ar/lu/luLandDet.jsp?pnu=4311231039100010029&amp;isNoScr=script&amp;mode=search", "토지이음")</f>
        <v/>
      </c>
      <c r="O926" s="3" t="inlineStr">
        <is>
          <t>금호스마트</t>
        </is>
      </c>
      <c r="P926" s="4" t="n">
        <v>1</v>
      </c>
      <c r="Q926" s="4" t="n">
        <v>584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26500</v>
      </c>
      <c r="G927" s="4" t="n">
        <v>584</v>
      </c>
      <c r="H927" s="4" t="n">
        <v>177</v>
      </c>
      <c r="I927" s="5" t="n">
        <v>149.7</v>
      </c>
      <c r="J927" s="5" t="n">
        <v>69.2</v>
      </c>
      <c r="K927" s="3" t="inlineStr">
        <is>
          <t>단독주택지 한가운데 위치한 토지, 탁트인 뷰, 카페자리추천</t>
        </is>
      </c>
      <c r="L927" s="6">
        <f>HYPERLINK("https://fin.land.naver.com/articles/2655971304",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11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66000</v>
      </c>
      <c r="G928" s="4" t="n">
        <v>731</v>
      </c>
      <c r="H928" s="4" t="n">
        <v>221</v>
      </c>
      <c r="I928" s="5" t="n">
        <v>298.6</v>
      </c>
      <c r="J928" s="5" t="n">
        <v>60.8</v>
      </c>
      <c r="K928" s="3" t="inlineStr">
        <is>
          <t>남이면 수대리 대로변 자연녹지 매매 창고 근생 자동차관련등 추천</t>
        </is>
      </c>
      <c r="L928" s="6">
        <f>HYPERLINK("https://fin.land.naver.com/articles/2654131214", "매물Link")</f>
        <v/>
      </c>
      <c r="M928" s="6">
        <f>HYPERLINK("https://map.naver.com/p/search/남이면 수대리 11", "지도Link")</f>
        <v/>
      </c>
      <c r="N928" s="6">
        <f>HYPERLINK("http://www.eum.go.kr/web/ar/lu/luLandDet.jsp?pnu=4311231039100110000&amp;isNoScr=script&amp;mode=search", "토지이음")</f>
        <v/>
      </c>
      <c r="O928" s="3" t="inlineStr">
        <is>
          <t>그린</t>
        </is>
      </c>
      <c r="P928" s="4" t="n">
        <v>1</v>
      </c>
      <c r="Q928" s="4" t="n">
        <v>560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중로한면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4차로변 광고효과 탁월, 상가건물 추천</t>
        </is>
      </c>
      <c r="L929" s="6">
        <f>HYPERLINK("https://fin.land.naver.com/articles/2655630670",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정민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114-7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13000</v>
      </c>
      <c r="G930" s="4" t="n">
        <v>508</v>
      </c>
      <c r="H930" s="4" t="n">
        <v>154</v>
      </c>
      <c r="I930" s="5" t="n">
        <v>84.40000000000001</v>
      </c>
      <c r="J930" s="5" t="n">
        <v>25.3</v>
      </c>
      <c r="K930" s="3" t="inlineStr">
        <is>
          <t>도심근교  주말쉼터 , 세컨하우스 좋은곳임.</t>
        </is>
      </c>
      <c r="L930" s="6">
        <f>HYPERLINK("https://fin.land.naver.com/articles/2651814384", "매물Link")</f>
        <v/>
      </c>
      <c r="M930" s="6">
        <f>HYPERLINK("https://map.naver.com/p/search/남이면 수대리 114-7", "지도Link")</f>
        <v/>
      </c>
      <c r="N930" s="6">
        <f>HYPERLINK("http://www.eum.go.kr/web/ar/lu/luLandDet.jsp?pnu=4311231039101140007&amp;isNoScr=script&amp;mode=search", "토지이음")</f>
        <v/>
      </c>
      <c r="O930" s="3" t="inlineStr">
        <is>
          <t>포시즌</t>
        </is>
      </c>
      <c r="P930" s="4" t="n">
        <v>2</v>
      </c>
      <c r="Q930" s="4" t="n">
        <v>445.3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수대리 115-6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대</t>
        </is>
      </c>
      <c r="E931" s="3" t="inlineStr">
        <is>
          <t>매매</t>
        </is>
      </c>
      <c r="F931" s="4" t="n">
        <v>80200</v>
      </c>
      <c r="G931" s="4" t="n">
        <v>2283</v>
      </c>
      <c r="H931" s="4" t="n">
        <v>691</v>
      </c>
      <c r="I931" s="5" t="n">
        <v>116.1</v>
      </c>
      <c r="J931" s="5" t="n">
        <v>28.8</v>
      </c>
      <c r="K931" s="3" t="inlineStr">
        <is>
          <t>수대리 진입도로있음 산 밑햇볕잘들고 현재 비닐하우스농장으로사용중</t>
        </is>
      </c>
      <c r="L931" s="6">
        <f>HYPERLINK("https://fin.land.naver.com/articles/2655766450", "매물Link")</f>
        <v/>
      </c>
      <c r="M931" s="6">
        <f>HYPERLINK("https://map.naver.com/p/search/남이면 수대리 115-6", "지도Link")</f>
        <v/>
      </c>
      <c r="N931" s="6">
        <f>HYPERLINK("http://www.eum.go.kr/web/ar/lu/luLandDet.jsp?pnu=4311231039101150006&amp;isNoScr=script&amp;mode=search", "토지이음")</f>
        <v/>
      </c>
      <c r="O931" s="3" t="inlineStr">
        <is>
          <t>건우다솔무소</t>
        </is>
      </c>
      <c r="P931" s="4" t="n">
        <v>1</v>
      </c>
      <c r="Q931" s="4" t="n">
        <v>2283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170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27000</v>
      </c>
      <c r="G932" s="4" t="n">
        <v>1785</v>
      </c>
      <c r="H932" s="4" t="n">
        <v>540</v>
      </c>
      <c r="I932" s="5" t="n">
        <v>50</v>
      </c>
      <c r="J932" s="5" t="n">
        <v>22.4</v>
      </c>
      <c r="K932" s="3" t="inlineStr">
        <is>
          <t>청주 서원구 남이면 수대리 토지  매매</t>
        </is>
      </c>
      <c r="L932" s="6">
        <f>HYPERLINK("https://fin.land.naver.com/articles/2652888421", "매물Link")</f>
        <v/>
      </c>
      <c r="M932" s="6">
        <f>HYPERLINK("https://map.naver.com/p/search/남이면 수대리 170", "지도Link")</f>
        <v/>
      </c>
      <c r="N932" s="6">
        <f>HYPERLINK("http://www.eum.go.kr/web/ar/lu/luLandDet.jsp?pnu=4311231039101700000&amp;isNoScr=script&amp;mode=search", "토지이음")</f>
        <v/>
      </c>
      <c r="O932" s="3" t="inlineStr">
        <is>
          <t>일등무소</t>
        </is>
      </c>
      <c r="P932" s="4" t="n">
        <v>1</v>
      </c>
      <c r="Q932" s="4" t="n">
        <v>1785</v>
      </c>
      <c r="R932" s="3" t="inlineStr">
        <is>
          <t>보전녹지지역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남이면 수대리 186</t>
        </is>
      </c>
      <c r="B933" s="3" t="inlineStr">
        <is>
          <t>자연녹지지역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130000</v>
      </c>
      <c r="G933" s="4" t="n">
        <v>5031</v>
      </c>
      <c r="H933" s="4" t="n">
        <v>1522</v>
      </c>
      <c r="I933" s="5" t="n">
        <v>85.40000000000001</v>
      </c>
      <c r="J933" s="5" t="n">
        <v>32</v>
      </c>
      <c r="K933" s="3" t="inlineStr">
        <is>
          <t>수대리 도로접한 토지 매매.</t>
        </is>
      </c>
      <c r="L933" s="6">
        <f>HYPERLINK("https://fin.land.naver.com/articles/2653458378", "매물Link")</f>
        <v/>
      </c>
      <c r="M933" s="6">
        <f>HYPERLINK("https://map.naver.com/p/search/남이면 수대리 186", "지도Link")</f>
        <v/>
      </c>
      <c r="N933" s="6">
        <f>HYPERLINK("http://www.eum.go.kr/web/ar/lu/luLandDet.jsp?pnu=4311231039101860000&amp;isNoScr=script&amp;mode=search", "토지이음")</f>
        <v/>
      </c>
      <c r="O933" s="3" t="inlineStr">
        <is>
          <t>방서에이스</t>
        </is>
      </c>
      <c r="P933" s="4" t="n">
        <v>1</v>
      </c>
      <c r="Q933" s="4" t="n">
        <v>3233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수대리 20-1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250000</v>
      </c>
      <c r="G934" s="4" t="n">
        <v>3048</v>
      </c>
      <c r="H934" s="4" t="n">
        <v>922</v>
      </c>
      <c r="I934" s="5" t="n">
        <v>271.1</v>
      </c>
      <c r="J934" s="5" t="n">
        <v>38.3</v>
      </c>
      <c r="K934" s="3" t="inlineStr">
        <is>
          <t>6차선도로바로옆 건물건축후임대수익또는직접사용가능 전시장,아울렛등추천</t>
        </is>
      </c>
      <c r="L934" s="6">
        <f>HYPERLINK("https://fin.land.naver.com/articles/2653653132", "매물Link")</f>
        <v/>
      </c>
      <c r="M934" s="6">
        <f>HYPERLINK("https://map.naver.com/p/search/남이면 수대리 20-1", "지도Link")</f>
        <v/>
      </c>
      <c r="N934" s="6">
        <f>HYPERLINK("http://www.eum.go.kr/web/ar/lu/luLandDet.jsp?pnu=4311231039100200001&amp;isNoScr=script&amp;mode=search", "토지이음")</f>
        <v/>
      </c>
      <c r="O934" s="3" t="inlineStr">
        <is>
          <t>하트리움</t>
        </is>
      </c>
      <c r="P934" s="4" t="n">
        <v>1</v>
      </c>
      <c r="Q934" s="4" t="n">
        <v>1831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수대리 25-1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68000</v>
      </c>
      <c r="G935" s="4" t="n">
        <v>2988</v>
      </c>
      <c r="H935" s="4" t="n">
        <v>904</v>
      </c>
      <c r="I935" s="5" t="n">
        <v>75.2</v>
      </c>
      <c r="J935" s="5" t="n">
        <v>25.3</v>
      </c>
      <c r="K935" s="3" t="inlineStr">
        <is>
          <t>도시지역 자연녹지지역</t>
        </is>
      </c>
      <c r="L935" s="6">
        <f>HYPERLINK("https://fin.land.naver.com/articles/2652234500", "매물Link")</f>
        <v/>
      </c>
      <c r="M935" s="6">
        <f>HYPERLINK("https://map.naver.com/p/search/남이면 수대리 25-1", "지도Link")</f>
        <v/>
      </c>
      <c r="N935" s="6">
        <f>HYPERLINK("http://www.eum.go.kr/web/ar/lu/luLandDet.jsp?pnu=4311231039100250001&amp;isNoScr=script&amp;mode=search", "토지이음")</f>
        <v/>
      </c>
      <c r="O935" s="3" t="inlineStr">
        <is>
          <t>김창수</t>
        </is>
      </c>
      <c r="P935" s="4" t="n">
        <v>1</v>
      </c>
      <c r="Q935" s="4" t="n">
        <v>2988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282-1</t>
        </is>
      </c>
      <c r="B936" s="3" t="inlineStr">
        <is>
          <t>자연녹지지역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19500</v>
      </c>
      <c r="H936" s="4" t="n">
        <v>5899</v>
      </c>
      <c r="I936" s="5" t="n">
        <v>25.4</v>
      </c>
      <c r="J936" s="5" t="n">
        <v>37.1</v>
      </c>
      <c r="K936" s="3" t="inlineStr">
        <is>
          <t>남이면 수대리 전, 임야 2필지 매매</t>
        </is>
      </c>
      <c r="L936" s="6">
        <f>HYPERLINK("https://fin.land.naver.com/articles/2651321062", "매물Link")</f>
        <v/>
      </c>
      <c r="M936" s="6">
        <f>HYPERLINK("https://map.naver.com/p/search/남이면 수대리 282-1", "지도Link")</f>
        <v/>
      </c>
      <c r="N936" s="6">
        <f>HYPERLINK("http://www.eum.go.kr/web/ar/lu/luLandDet.jsp?pnu=4311231039102820001&amp;isNoScr=script&amp;mode=search", "토지이음")</f>
        <v/>
      </c>
      <c r="O936" s="3" t="inlineStr">
        <is>
          <t>서초</t>
        </is>
      </c>
      <c r="P936" s="4" t="n">
        <v>1</v>
      </c>
      <c r="Q936" s="4" t="n">
        <v>1622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수대리 95-2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34000</v>
      </c>
      <c r="G937" s="4" t="n">
        <v>1439</v>
      </c>
      <c r="H937" s="4" t="n">
        <v>435</v>
      </c>
      <c r="I937" s="5" t="n">
        <v>78.2</v>
      </c>
      <c r="J937" s="5" t="n">
        <v>20.4</v>
      </c>
      <c r="K937" s="3" t="inlineStr">
        <is>
          <t>수대리 자연녹지 밭 매매 주택 쉼터용 주말용등 추천</t>
        </is>
      </c>
      <c r="L937" s="6">
        <f>HYPERLINK("https://fin.land.naver.com/articles/2655527570", "매물Link")</f>
        <v/>
      </c>
      <c r="M937" s="6">
        <f>HYPERLINK("https://map.naver.com/p/search/남이면 수대리 95-2", "지도Link")</f>
        <v/>
      </c>
      <c r="N937" s="6">
        <f>HYPERLINK("http://www.eum.go.kr/web/ar/lu/luLandDet.jsp?pnu=4311231039100950002&amp;isNoScr=script&amp;mode=search",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660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수대리 산26-1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33000</v>
      </c>
      <c r="G938" s="4" t="n">
        <v>3361</v>
      </c>
      <c r="H938" s="4" t="n">
        <v>1017</v>
      </c>
      <c r="I938" s="5" t="n">
        <v>32.4</v>
      </c>
      <c r="J938" s="5" t="n">
        <v>2.6</v>
      </c>
      <c r="K938" s="3" t="inlineStr">
        <is>
          <t>선산,물류센터,전원주택단지 추천</t>
        </is>
      </c>
      <c r="L938" s="6">
        <f>HYPERLINK("https://fin.land.naver.com/articles/2652445357", "매물Link")</f>
        <v/>
      </c>
      <c r="M938" s="6">
        <f>HYPERLINK("https://map.naver.com/p/search/남이면 수대리 산26-1", "지도Link")</f>
        <v/>
      </c>
      <c r="N938" s="6">
        <f>HYPERLINK("http://www.eum.go.kr/web/ar/lu/luLandDet.jsp?pnu=4311231039200260001&amp;isNoScr=script&amp;mode=search", "토지이음")</f>
        <v/>
      </c>
      <c r="O938" s="3" t="inlineStr">
        <is>
          <t>건국</t>
        </is>
      </c>
      <c r="P938" s="4" t="n">
        <v>1</v>
      </c>
      <c r="Q938" s="4" t="n">
        <v>3361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급경사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남이면 수대리 산4</t>
        </is>
      </c>
      <c r="B939" s="3" t="inlineStr">
        <is>
          <t>보전녹지지역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63000</v>
      </c>
      <c r="G939" s="4" t="n">
        <v>5157</v>
      </c>
      <c r="H939" s="4" t="n">
        <v>1560</v>
      </c>
      <c r="I939" s="5" t="n">
        <v>40.4</v>
      </c>
      <c r="J939" s="5" t="n">
        <v>4.1</v>
      </c>
      <c r="K939" s="3" t="inlineStr">
        <is>
          <t>청주시 서원구 남이면 수대리 토지 매매</t>
        </is>
      </c>
      <c r="L939" s="6">
        <f>HYPERLINK("https://fin.land.naver.com/articles/2652887612", "매물Link")</f>
        <v/>
      </c>
      <c r="M939" s="6">
        <f>HYPERLINK("https://map.naver.com/p/search/남이면 수대리 산4", "지도Link")</f>
        <v/>
      </c>
      <c r="N939" s="6">
        <f>HYPERLINK("http://www.eum.go.kr/web/ar/lu/luLandDet.jsp?pnu=4311231039200040000&amp;isNoScr=script&amp;mode=search", "토지이음")</f>
        <v/>
      </c>
      <c r="O939" s="3" t="inlineStr">
        <is>
          <t>일등무소</t>
        </is>
      </c>
      <c r="P939" s="4" t="n">
        <v>1</v>
      </c>
      <c r="Q939" s="4" t="n">
        <v>5157</v>
      </c>
      <c r="R939" s="3" t="inlineStr">
        <is>
          <t>자연녹지지역</t>
        </is>
      </c>
      <c r="S939" s="3" t="inlineStr">
        <is>
          <t>자연림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양촌리 125-3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140000</v>
      </c>
      <c r="G940" s="4" t="n">
        <v>2099</v>
      </c>
      <c r="H940" s="4" t="n">
        <v>635</v>
      </c>
      <c r="I940" s="5" t="n">
        <v>220.5</v>
      </c>
      <c r="J940" s="5" t="n">
        <v>56.6</v>
      </c>
      <c r="K940" s="3" t="inlineStr">
        <is>
          <t>청주시내 접근성 좋은 남이면 양촌리 근생으로 개발하면 좋을 토지매매</t>
        </is>
      </c>
      <c r="L940" s="6">
        <f>HYPERLINK("https://fin.land.naver.com/articles/2655718663", "매물Link")</f>
        <v/>
      </c>
      <c r="M940" s="6">
        <f>HYPERLINK("https://map.naver.com/p/search/남이면 양촌리 125-3", "지도Link")</f>
        <v/>
      </c>
      <c r="N940" s="6">
        <f>HYPERLINK("http://www.eum.go.kr/web/ar/lu/luLandDet.jsp?pnu=4311231037101250003&amp;isNoScr=script&amp;mode=search", "토지이음")</f>
        <v/>
      </c>
      <c r="O940" s="3" t="inlineStr">
        <is>
          <t>좋은선택</t>
        </is>
      </c>
      <c r="P940" s="4" t="n">
        <v>1</v>
      </c>
      <c r="Q940" s="4" t="n">
        <v>2099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양촌리 152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168000</v>
      </c>
      <c r="G941" s="4" t="n">
        <v>5293</v>
      </c>
      <c r="H941" s="4" t="n">
        <v>1601</v>
      </c>
      <c r="I941" s="5" t="n">
        <v>104.9</v>
      </c>
      <c r="J941" s="5" t="n">
        <v>65.40000000000001</v>
      </c>
      <c r="K941" s="3" t="inlineStr">
        <is>
          <t>3차 우회도로 인근 공장 및 창고부지로 추천함</t>
        </is>
      </c>
      <c r="L941" s="6">
        <f>HYPERLINK("https://fin.land.naver.com/articles/2651557248", "매물Link")</f>
        <v/>
      </c>
      <c r="M941" s="6">
        <f>HYPERLINK("https://map.naver.com/p/search/남이면 양촌리 152", "지도Link")</f>
        <v/>
      </c>
      <c r="N941" s="6">
        <f>HYPERLINK("http://www.eum.go.kr/web/ar/lu/luLandDet.jsp?pnu=4311231037101520000&amp;isNoScr=script&amp;mode=search", "토지이음")</f>
        <v/>
      </c>
      <c r="O941" s="3" t="inlineStr">
        <is>
          <t>청주원</t>
        </is>
      </c>
      <c r="P941" s="4" t="n">
        <v>1</v>
      </c>
      <c r="Q941" s="4" t="n">
        <v>2302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남이면 양촌리 165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12000</v>
      </c>
      <c r="G942" s="4" t="n">
        <v>394</v>
      </c>
      <c r="H942" s="4" t="n">
        <v>119</v>
      </c>
      <c r="I942" s="5" t="n">
        <v>100.8</v>
      </c>
      <c r="J942" s="5" t="n">
        <v>36.1</v>
      </c>
      <c r="K942" s="3" t="inlineStr">
        <is>
          <t>청주 도심 접근성이 뛰어나고 장기적 투자 가치 잠재력이 우수함</t>
        </is>
      </c>
      <c r="L942" s="6">
        <f>HYPERLINK("https://fin.land.naver.com/articles/2655757933", "매물Link")</f>
        <v/>
      </c>
      <c r="M942" s="6">
        <f>HYPERLINK("https://map.naver.com/p/search/남이면 양촌리 165", "지도Link")</f>
        <v/>
      </c>
      <c r="N942" s="6">
        <f>HYPERLINK("http://www.eum.go.kr/web/ar/lu/luLandDet.jsp?pnu=4311231037101650000&amp;isNoScr=script&amp;mode=search", "토지이음")</f>
        <v/>
      </c>
      <c r="O942" s="3" t="inlineStr">
        <is>
          <t>신영</t>
        </is>
      </c>
      <c r="P942" s="4" t="n">
        <v>2</v>
      </c>
      <c r="Q942" s="4" t="n">
        <v>394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268-6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70000</v>
      </c>
      <c r="G943" s="4" t="n">
        <v>626</v>
      </c>
      <c r="H943" s="4" t="n">
        <v>189</v>
      </c>
      <c r="I943" s="5" t="n">
        <v>370.4</v>
      </c>
      <c r="J943" s="5" t="n">
        <v>133.1</v>
      </c>
      <c r="K943" s="3" t="inlineStr">
        <is>
          <t>양촌카플주차장 인근, 인접토지건물 연계 매매23억원, 가격 절충</t>
        </is>
      </c>
      <c r="L943" s="6">
        <f>HYPERLINK("https://fin.land.naver.com/articles/2653650190", "매물Link")</f>
        <v/>
      </c>
      <c r="M943" s="6">
        <f>HYPERLINK("https://map.naver.com/p/search/남이면 양촌리 268-6", "지도Link")</f>
        <v/>
      </c>
      <c r="N943" s="6">
        <f>HYPERLINK("http://www.eum.go.kr/web/ar/lu/luLandDet.jsp?pnu=4311231037102680006&amp;isNoScr=script&amp;mode=search", "토지이음")</f>
        <v/>
      </c>
      <c r="O943" s="3" t="inlineStr">
        <is>
          <t>라인</t>
        </is>
      </c>
      <c r="P943" s="4" t="n">
        <v>1</v>
      </c>
      <c r="Q943" s="4" t="n">
        <v>626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양촌리 314-2</t>
        </is>
      </c>
      <c r="B944" s="3" t="inlineStr">
        <is>
          <t>자연녹지지역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44000</v>
      </c>
      <c r="G944" s="4" t="n">
        <v>969</v>
      </c>
      <c r="H944" s="4" t="n">
        <v>293</v>
      </c>
      <c r="I944" s="5" t="n">
        <v>150.2</v>
      </c>
      <c r="J944" s="5" t="n">
        <v>68.8</v>
      </c>
      <c r="K944" s="3" t="inlineStr">
        <is>
          <t>도로접한 전원주택지 매매</t>
        </is>
      </c>
      <c r="L944" s="6">
        <f>HYPERLINK("https://fin.land.naver.com/articles/2654796113", "매물Link")</f>
        <v/>
      </c>
      <c r="M944" s="6">
        <f>HYPERLINK("https://map.naver.com/p/search/남이면 양촌리 314-2", "지도Link")</f>
        <v/>
      </c>
      <c r="N944" s="6">
        <f>HYPERLINK("http://www.eum.go.kr/web/ar/lu/luLandDet.jsp?pnu=4311231037103140002&amp;isNoScr=script&amp;mode=search", "토지이음")</f>
        <v/>
      </c>
      <c r="O944" s="3" t="inlineStr">
        <is>
          <t>원탑</t>
        </is>
      </c>
      <c r="P944" s="4" t="n">
        <v>1</v>
      </c>
      <c r="Q944" s="4" t="n">
        <v>969</v>
      </c>
      <c r="R944" s="3" t="inlineStr">
        <is>
          <t>보전녹지지역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317-2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53000</v>
      </c>
      <c r="G945" s="4" t="n">
        <v>1309</v>
      </c>
      <c r="H945" s="4" t="n">
        <v>396</v>
      </c>
      <c r="I945" s="5" t="n">
        <v>133.8</v>
      </c>
      <c r="J945" s="5" t="n">
        <v>48.1</v>
      </c>
      <c r="K945" s="3" t="inlineStr">
        <is>
          <t>남이면 양촌리 도로 접한 자연녹지 밭 매매 창고.근생등 추천</t>
        </is>
      </c>
      <c r="L945" s="6">
        <f>HYPERLINK("https://fin.land.naver.com/articles/2651924628", "매물Link")</f>
        <v/>
      </c>
      <c r="M945" s="6">
        <f>HYPERLINK("https://map.naver.com/p/search/남이면 양촌리 317-2", "지도Link")</f>
        <v/>
      </c>
      <c r="N945" s="6">
        <f>HYPERLINK("http://www.eum.go.kr/web/ar/lu/luLandDet.jsp?pnu=4311231037103170002&amp;isNoScr=script&amp;mode=search", "토지이음")</f>
        <v/>
      </c>
      <c r="O945" s="3" t="inlineStr">
        <is>
          <t>그린</t>
        </is>
      </c>
      <c r="P945" s="4" t="n">
        <v>1</v>
      </c>
      <c r="Q945" s="4" t="n">
        <v>1309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373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71000</v>
      </c>
      <c r="G946" s="4" t="n">
        <v>1993</v>
      </c>
      <c r="H946" s="4" t="n">
        <v>603</v>
      </c>
      <c r="I946" s="5" t="n">
        <v>117.7</v>
      </c>
      <c r="J946" s="5" t="n">
        <v>52.3</v>
      </c>
      <c r="K946" s="3" t="inlineStr">
        <is>
          <t>3순환로 인접  정남향 토지로 활용도 좋은 저렴한토지</t>
        </is>
      </c>
      <c r="L946" s="6">
        <f>HYPERLINK("https://fin.land.naver.com/articles/2655210050", "매물Link")</f>
        <v/>
      </c>
      <c r="M946" s="6">
        <f>HYPERLINK("https://map.naver.com/p/search/남이면 양촌리 373", "지도Link")</f>
        <v/>
      </c>
      <c r="N946" s="6">
        <f>HYPERLINK("http://www.eum.go.kr/web/ar/lu/luLandDet.jsp?pnu=4311231037103730000&amp;isNoScr=script&amp;mode=search", "토지이음")</f>
        <v/>
      </c>
      <c r="O946" s="3" t="inlineStr">
        <is>
          <t>청주원</t>
        </is>
      </c>
      <c r="P946" s="4" t="n">
        <v>1</v>
      </c>
      <c r="Q946" s="4" t="n">
        <v>1993</v>
      </c>
      <c r="R946" s="3" t="inlineStr">
        <is>
          <t>보전녹지지역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395-1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29000</v>
      </c>
      <c r="G947" s="4" t="n">
        <v>684</v>
      </c>
      <c r="H947" s="4" t="n">
        <v>207</v>
      </c>
      <c r="I947" s="5" t="n">
        <v>140.1</v>
      </c>
      <c r="J947" s="5" t="n">
        <v>42.1</v>
      </c>
      <c r="K947" s="3" t="inlineStr">
        <is>
          <t>남향토지로 접근성 우수</t>
        </is>
      </c>
      <c r="L947" s="6">
        <f>HYPERLINK("https://fin.land.naver.com/articles/2651705474", "매물Link")</f>
        <v/>
      </c>
      <c r="M947" s="6">
        <f>HYPERLINK("https://map.naver.com/p/search/남이면 양촌리 395-1", "지도Link")</f>
        <v/>
      </c>
      <c r="N947" s="6">
        <f>HYPERLINK("http://www.eum.go.kr/web/ar/lu/luLandDet.jsp?pnu=4311231037103950001&amp;isNoScr=script&amp;mode=search", "토지이음")</f>
        <v/>
      </c>
      <c r="O947" s="3" t="inlineStr">
        <is>
          <t>터사랑</t>
        </is>
      </c>
      <c r="P947" s="4" t="n">
        <v>1</v>
      </c>
      <c r="Q947" s="4" t="n">
        <v>684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417-3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220000</v>
      </c>
      <c r="G948" s="4" t="n">
        <v>4540</v>
      </c>
      <c r="H948" s="4" t="n">
        <v>1373</v>
      </c>
      <c r="I948" s="5" t="n">
        <v>160.2</v>
      </c>
      <c r="J948" s="5" t="n">
        <v>30.3</v>
      </c>
      <c r="K948" s="3" t="inlineStr">
        <is>
          <t>8m 아스팔트 포장도로에 접한 토지. 용도 다양함</t>
        </is>
      </c>
      <c r="L948" s="6">
        <f>HYPERLINK("https://fin.land.naver.com/articles/2655210508", "매물Link")</f>
        <v/>
      </c>
      <c r="M948" s="6">
        <f>HYPERLINK("https://map.naver.com/p/search/남이면 양촌리 417-3", "지도Link")</f>
        <v/>
      </c>
      <c r="N948" s="6">
        <f>HYPERLINK("http://www.eum.go.kr/web/ar/lu/luLandDet.jsp?pnu=4311231037104170003&amp;isNoScr=script&amp;mode=search",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1088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419-4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234000</v>
      </c>
      <c r="G949" s="4" t="n">
        <v>4829</v>
      </c>
      <c r="H949" s="4" t="n">
        <v>1461</v>
      </c>
      <c r="I949" s="5" t="n">
        <v>160.2</v>
      </c>
      <c r="J949" s="5" t="n">
        <v>37.5</v>
      </c>
      <c r="K949" s="3" t="inlineStr">
        <is>
          <t>8m도로접, 제2종근생 제조압 허가득, 토목공사 완료</t>
        </is>
      </c>
      <c r="L949" s="6">
        <f>HYPERLINK("https://fin.land.naver.com/articles/2654897282", "매물Link")</f>
        <v/>
      </c>
      <c r="M949" s="6">
        <f>HYPERLINK("https://map.naver.com/p/search/남이면 양촌리 419-4", "지도Link")</f>
        <v/>
      </c>
      <c r="N949" s="6">
        <f>HYPERLINK("http://www.eum.go.kr/web/ar/lu/luLandDet.jsp?pnu=4311231037104190004&amp;isNoScr=script&amp;mode=search", "토지이음")</f>
        <v/>
      </c>
      <c r="O949" s="3" t="inlineStr">
        <is>
          <t>플러스자이합동</t>
        </is>
      </c>
      <c r="P949" s="4" t="n">
        <v>1</v>
      </c>
      <c r="Q949" s="4" t="n">
        <v>911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419-4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37.5</v>
      </c>
      <c r="K950" s="3" t="inlineStr">
        <is>
          <t>제2종근생 허가득,토목공사 완료,오폐수직관,3순환로인접,공장 음식점</t>
        </is>
      </c>
      <c r="L950" s="6">
        <f>HYPERLINK("https://fin.land.naver.com/articles/2651557955", "매물Link")</f>
        <v/>
      </c>
      <c r="M950" s="6">
        <f>HYPERLINK("https://map.naver.com/p/search/남이면 양촌리 419-4", "지도Link")</f>
        <v/>
      </c>
      <c r="N950" s="6">
        <f>HYPERLINK("http://www.eum.go.kr/web/ar/lu/luLandDet.jsp?pnu=4311231037104190004&amp;isNoScr=script&amp;mode=search", "토지이음")</f>
        <v/>
      </c>
      <c r="O950" s="3" t="inlineStr">
        <is>
          <t>라인</t>
        </is>
      </c>
      <c r="P950" s="4" t="n">
        <v>1</v>
      </c>
      <c r="Q950" s="4" t="n">
        <v>911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53-69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33460</v>
      </c>
      <c r="G951" s="4" t="n">
        <v>791</v>
      </c>
      <c r="H951" s="4" t="n">
        <v>239</v>
      </c>
      <c r="I951" s="5" t="n">
        <v>140</v>
      </c>
      <c r="J951" s="5" t="n">
        <v>103.6</v>
      </c>
      <c r="K951" s="3" t="inlineStr">
        <is>
          <t>청주 서원구 남이면 양촌리 가마리 인근 전원마을 토목공사완료 주택건축</t>
        </is>
      </c>
      <c r="L951" s="6">
        <f>HYPERLINK("https://fin.land.naver.com/articles/2653517521", "매물Link")</f>
        <v/>
      </c>
      <c r="M951" s="6">
        <f>HYPERLINK("https://map.naver.com/p/search/남이면 양촌리 53-69", "지도Link")</f>
        <v/>
      </c>
      <c r="N951" s="6">
        <f>HYPERLINK("http://www.eum.go.kr/web/ar/lu/luLandDet.jsp?pnu=4311231037100530069&amp;isNoScr=script&amp;mode=search", "토지이음")</f>
        <v/>
      </c>
      <c r="O951" s="3" t="inlineStr">
        <is>
          <t>나침반</t>
        </is>
      </c>
      <c r="P951" s="4" t="n">
        <v>1</v>
      </c>
      <c r="Q951" s="4" t="n">
        <v>685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53-96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32300</v>
      </c>
      <c r="G952" s="4" t="n">
        <v>631</v>
      </c>
      <c r="H952" s="4" t="n">
        <v>191</v>
      </c>
      <c r="I952" s="5" t="n">
        <v>169.1</v>
      </c>
      <c r="J952" s="5" t="n">
        <v>43.5</v>
      </c>
      <c r="K952" s="3" t="inlineStr">
        <is>
          <t>nan</t>
        </is>
      </c>
      <c r="L952" s="6">
        <f>HYPERLINK("https://fin.land.naver.com/articles/2655704749", "매물Link")</f>
        <v/>
      </c>
      <c r="M952" s="6">
        <f>HYPERLINK("https://map.naver.com/p/search/남이면 양촌리 53-96", "지도Link")</f>
        <v/>
      </c>
      <c r="N952" s="6">
        <f>HYPERLINK("http://www.eum.go.kr/web/ar/lu/luLandDet.jsp?pnu=4311231037100530096&amp;isNoScr=script&amp;mode=search", "토지이음")</f>
        <v/>
      </c>
      <c r="O952" s="3" t="inlineStr">
        <is>
          <t>좋은선택</t>
        </is>
      </c>
      <c r="P952" s="4" t="n">
        <v>1</v>
      </c>
      <c r="Q952" s="4" t="n">
        <v>631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맹지</t>
        </is>
      </c>
    </row>
    <row r="953">
      <c r="A953" s="3" t="inlineStr">
        <is>
          <t>남이면 양촌리 64-4</t>
        </is>
      </c>
      <c r="B953" s="3" t="inlineStr">
        <is>
          <t>자연녹지지역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5731</v>
      </c>
      <c r="H953" s="4" t="n">
        <v>1734</v>
      </c>
      <c r="I953" s="5" t="n">
        <v>103.8</v>
      </c>
      <c r="J953" s="5" t="n">
        <v>76.40000000000001</v>
      </c>
      <c r="K953" s="3" t="inlineStr">
        <is>
          <t>nan</t>
        </is>
      </c>
      <c r="L953" s="6">
        <f>HYPERLINK("https://fin.land.naver.com/articles/2656162807", "매물Link")</f>
        <v/>
      </c>
      <c r="M953" s="6">
        <f>HYPERLINK("https://map.naver.com/p/search/남이면 양촌리 64-4", "지도Link")</f>
        <v/>
      </c>
      <c r="N953" s="6">
        <f>HYPERLINK("http://www.eum.go.kr/web/ar/lu/luLandDet.jsp?pnu=4311231037100640004&amp;isNoScr=script&amp;mode=search", "토지이음")</f>
        <v/>
      </c>
      <c r="O953" s="3" t="inlineStr">
        <is>
          <t>대지</t>
        </is>
      </c>
      <c r="P953" s="4" t="n">
        <v>1</v>
      </c>
      <c r="Q953" s="4" t="n">
        <v>460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남이면 양촌리 산12-5</t>
        </is>
      </c>
      <c r="B954" s="3" t="inlineStr">
        <is>
          <t>보전녹지지역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87800</v>
      </c>
      <c r="G954" s="4" t="n">
        <v>2233</v>
      </c>
      <c r="H954" s="4" t="n">
        <v>675</v>
      </c>
      <c r="I954" s="5" t="n">
        <v>130.1</v>
      </c>
      <c r="J954" s="5" t="n">
        <v>3.5</v>
      </c>
      <c r="K954" s="3" t="inlineStr">
        <is>
          <t>청주 시내뷰를 가진 시내권 전원주택</t>
        </is>
      </c>
      <c r="L954" s="6">
        <f>HYPERLINK("https://fin.land.naver.com/articles/2652742861", "매물Link")</f>
        <v/>
      </c>
      <c r="M954" s="6">
        <f>HYPERLINK("https://map.naver.com/p/search/남이면 양촌리 산12-5", "지도Link")</f>
        <v/>
      </c>
      <c r="N954" s="6">
        <f>HYPERLINK("http://www.eum.go.kr/web/ar/lu/luLandDet.jsp?pnu=4311231037200120005&amp;isNoScr=script&amp;mode=search",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1910</v>
      </c>
      <c r="R954" s="3" t="inlineStr">
        <is>
          <t>지정되지않음</t>
        </is>
      </c>
      <c r="S954" s="3" t="inlineStr">
        <is>
          <t>자연림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남이면 양촌리 산8-26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21000</v>
      </c>
      <c r="G955" s="4" t="n">
        <v>425</v>
      </c>
      <c r="H955" s="4" t="n">
        <v>129</v>
      </c>
      <c r="I955" s="5" t="n">
        <v>162.8</v>
      </c>
      <c r="J955" s="5" t="n">
        <v>74.3</v>
      </c>
      <c r="K955" s="3" t="inlineStr">
        <is>
          <t>도심 근교 주택부지</t>
        </is>
      </c>
      <c r="L955" s="6">
        <f>HYPERLINK("https://fin.land.naver.com/articles/2655584658", "매물Link")</f>
        <v/>
      </c>
      <c r="M955" s="6">
        <f>HYPERLINK("https://map.naver.com/p/search/남이면 양촌리 산8-26", "지도Link")</f>
        <v/>
      </c>
      <c r="N955" s="6">
        <f>HYPERLINK("http://www.eum.go.kr/web/ar/lu/luLandDet.jsp?pnu=4311231037200080026&amp;isNoScr=script&amp;mode=search", "토지이음")</f>
        <v/>
      </c>
      <c r="O955" s="3" t="inlineStr">
        <is>
          <t>조은</t>
        </is>
      </c>
      <c r="P955" s="4" t="n">
        <v>1</v>
      </c>
      <c r="Q955" s="4" t="n">
        <v>388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외천리 121</t>
        </is>
      </c>
      <c r="B956" s="3" t="inlineStr">
        <is>
          <t>계획관리지역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285000</v>
      </c>
      <c r="G956" s="4" t="n">
        <v>6282</v>
      </c>
      <c r="H956" s="4" t="n">
        <v>1900</v>
      </c>
      <c r="I956" s="5" t="n">
        <v>150</v>
      </c>
      <c r="J956" s="5" t="n">
        <v>18.5</v>
      </c>
      <c r="K956" s="3" t="inlineStr">
        <is>
          <t>청주시 남이면 경부,중부,당진영덕고속도로 ic,jc로 바로연결 가능</t>
        </is>
      </c>
      <c r="L956" s="6">
        <f>HYPERLINK("https://fin.land.naver.com/articles/2652451277", "매물Link")</f>
        <v/>
      </c>
      <c r="M956" s="6">
        <f>HYPERLINK("https://map.naver.com/p/search/남이면 외천리 121", "지도Link")</f>
        <v/>
      </c>
      <c r="N956" s="6">
        <f>HYPERLINK("http://www.eum.go.kr/web/ar/lu/luLandDet.jsp?pnu=4311231022101210000&amp;isNoScr=script&amp;mode=search", "토지이음")</f>
        <v/>
      </c>
      <c r="O956" s="3" t="inlineStr">
        <is>
          <t>좋은선택</t>
        </is>
      </c>
      <c r="P956" s="4" t="n">
        <v>1</v>
      </c>
      <c r="Q956" s="4" t="n">
        <v>2280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276-2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3700</v>
      </c>
      <c r="G957" s="4" t="n">
        <v>384</v>
      </c>
      <c r="H957" s="4" t="n">
        <v>116</v>
      </c>
      <c r="I957" s="5" t="n">
        <v>31.9</v>
      </c>
      <c r="J957" s="5" t="n">
        <v>30</v>
      </c>
      <c r="K957" s="3" t="inlineStr">
        <is>
          <t>nan</t>
        </is>
      </c>
      <c r="L957" s="6">
        <f>HYPERLINK("https://fin.land.naver.com/articles/2651009859", "매물Link")</f>
        <v/>
      </c>
      <c r="M957" s="6">
        <f>HYPERLINK("https://map.naver.com/p/search/남이면 외천리 276-2", "지도Link")</f>
        <v/>
      </c>
      <c r="N957" s="6">
        <f>HYPERLINK("http://www.eum.go.kr/web/ar/lu/luLandDet.jsp?pnu=4311231022102760002&amp;isNoScr=script&amp;mode=search", "토지이음")</f>
        <v/>
      </c>
      <c r="O957" s="3" t="inlineStr">
        <is>
          <t>노른자</t>
        </is>
      </c>
      <c r="P957" s="4" t="n">
        <v>1</v>
      </c>
      <c r="Q957" s="4" t="n">
        <v>384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296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23000</v>
      </c>
      <c r="G959" s="4" t="n">
        <v>620</v>
      </c>
      <c r="H959" s="4" t="n">
        <v>188</v>
      </c>
      <c r="I959" s="5" t="n">
        <v>122.3</v>
      </c>
      <c r="J959" s="5" t="n">
        <v>55.7</v>
      </c>
      <c r="K959" s="3" t="inlineStr">
        <is>
          <t>남이면 코너 대지 매매</t>
        </is>
      </c>
      <c r="L959" s="6">
        <f>HYPERLINK("https://fin.land.naver.com/articles/2651167055", "매물Link")</f>
        <v/>
      </c>
      <c r="M959" s="6">
        <f>HYPERLINK("https://map.naver.com/p/search/남이면 외천리 296", "지도Link")</f>
        <v/>
      </c>
      <c r="N959" s="6">
        <f>HYPERLINK("http://www.eum.go.kr/web/ar/lu/luLandDet.jsp?pnu=4311231022102960000&amp;isNoScr=script&amp;mode=search", "토지이음")</f>
        <v/>
      </c>
      <c r="O959" s="3" t="inlineStr">
        <is>
          <t>더공감</t>
        </is>
      </c>
      <c r="P959" s="4" t="n">
        <v>1</v>
      </c>
      <c r="Q959" s="4" t="n">
        <v>620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세로각지(가)</t>
        </is>
      </c>
    </row>
    <row r="960">
      <c r="A960" s="3" t="inlineStr">
        <is>
          <t>남이면 외천리 296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20600</v>
      </c>
      <c r="G960" s="4" t="n">
        <v>620</v>
      </c>
      <c r="H960" s="4" t="n">
        <v>188</v>
      </c>
      <c r="I960" s="5" t="n">
        <v>109.6</v>
      </c>
      <c r="J960" s="5" t="n">
        <v>55.7</v>
      </c>
      <c r="K960" s="3" t="inlineStr">
        <is>
          <t>계획관리지역, 도로인접, 신탄진네거리에서 차량으로 20분 거리</t>
        </is>
      </c>
      <c r="L960" s="6">
        <f>HYPERLINK("https://fin.land.naver.com/articles/2654547410", "매물Link")</f>
        <v/>
      </c>
      <c r="M960" s="6">
        <f>HYPERLINK("https://map.naver.com/p/search/남이면 외천리 296", "지도Link")</f>
        <v/>
      </c>
      <c r="N960" s="6">
        <f>HYPERLINK("http://www.eum.go.kr/web/ar/lu/luLandDet.jsp?pnu=4311231022102960000&amp;isNoScr=script&amp;mode=search", "토지이음")</f>
        <v/>
      </c>
      <c r="O960" s="3" t="inlineStr">
        <is>
          <t>대지</t>
        </is>
      </c>
      <c r="P960" s="4" t="n">
        <v>2</v>
      </c>
      <c r="Q960" s="4" t="n">
        <v>620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세로각지(가)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22500</v>
      </c>
      <c r="G961" s="4" t="n">
        <v>620</v>
      </c>
      <c r="H961" s="4" t="n">
        <v>188</v>
      </c>
      <c r="I961" s="5" t="n">
        <v>119.7</v>
      </c>
      <c r="J961" s="5" t="n">
        <v>55.7</v>
      </c>
      <c r="K961" s="3" t="inlineStr">
        <is>
          <t>계획관리. 나대지</t>
        </is>
      </c>
      <c r="L961" s="6">
        <f>HYPERLINK("https://fin.land.naver.com/articles/2655630754",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정민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37-5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310000</v>
      </c>
      <c r="G962" s="4" t="n">
        <v>6841</v>
      </c>
      <c r="H962" s="4" t="n">
        <v>2069</v>
      </c>
      <c r="I962" s="5" t="n">
        <v>149.8</v>
      </c>
      <c r="J962" s="5" t="n">
        <v>34.8</v>
      </c>
      <c r="K962" s="3" t="inlineStr">
        <is>
          <t>계획관리지역, 공장 및 창고, 물류센터용 토지 매매</t>
        </is>
      </c>
      <c r="L962" s="6">
        <f>HYPERLINK("https://fin.land.naver.com/articles/2655595043", "매물Link")</f>
        <v/>
      </c>
      <c r="M962" s="6">
        <f>HYPERLINK("https://map.naver.com/p/search/남이면 외천리 37-5", "지도Link")</f>
        <v/>
      </c>
      <c r="N962" s="6">
        <f>HYPERLINK("http://www.eum.go.kr/web/ar/lu/luLandDet.jsp?pnu=4311231022100370005&amp;isNoScr=script&amp;mode=search", "토지이음")</f>
        <v/>
      </c>
      <c r="O962" s="3" t="inlineStr">
        <is>
          <t>금화랜드</t>
        </is>
      </c>
      <c r="P962" s="4" t="n">
        <v>1</v>
      </c>
      <c r="Q962" s="4" t="n">
        <v>2790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남이면 외천리 428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146000</v>
      </c>
      <c r="G963" s="4" t="n">
        <v>3570</v>
      </c>
      <c r="H963" s="4" t="n">
        <v>1080</v>
      </c>
      <c r="I963" s="5" t="n">
        <v>135.2</v>
      </c>
      <c r="J963" s="5" t="n">
        <v>16.4</v>
      </c>
      <c r="K963" s="3" t="inlineStr">
        <is>
          <t>남청주IC 청남로 인근 토지  대, 전  계획관리지역, 성장관리계획.</t>
        </is>
      </c>
      <c r="L963" s="6">
        <f>HYPERLINK("https://fin.land.naver.com/articles/2651725704", "매물Link")</f>
        <v/>
      </c>
      <c r="M963" s="6">
        <f>HYPERLINK("https://map.naver.com/p/search/남이면 외천리 428", "지도Link")</f>
        <v/>
      </c>
      <c r="N963" s="6">
        <f>HYPERLINK("http://www.eum.go.kr/web/ar/lu/luLandDet.jsp?pnu=4311231022104280000&amp;isNoScr=script&amp;mode=search", "토지이음")</f>
        <v/>
      </c>
      <c r="O963" s="3" t="inlineStr">
        <is>
          <t>두꺼비</t>
        </is>
      </c>
      <c r="P963" s="4" t="n">
        <v>1</v>
      </c>
      <c r="Q963" s="4" t="n">
        <v>1613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외천리 93-3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282000</v>
      </c>
      <c r="G964" s="4" t="n">
        <v>6230</v>
      </c>
      <c r="H964" s="4" t="n">
        <v>1885</v>
      </c>
      <c r="I964" s="5" t="n">
        <v>149.6</v>
      </c>
      <c r="J964" s="5" t="n">
        <v>61.2</v>
      </c>
      <c r="K964" s="3" t="inlineStr">
        <is>
          <t>총10필지이며 대지 및 답으로 되어 있으나  현황은 전체 대지처럼 사용함</t>
        </is>
      </c>
      <c r="L964" s="6">
        <f>HYPERLINK("https://fin.land.naver.com/articles/2652762140", "매물Link")</f>
        <v/>
      </c>
      <c r="M964" s="6">
        <f>HYPERLINK("https://map.naver.com/p/search/남이면 외천리 93-3", "지도Link")</f>
        <v/>
      </c>
      <c r="N964" s="6">
        <f>HYPERLINK("http://www.eum.go.kr/web/ar/lu/luLandDet.jsp?pnu=4311231022100930003&amp;isNoScr=script&amp;mode=search", "토지이음")</f>
        <v/>
      </c>
      <c r="O964" s="3" t="inlineStr">
        <is>
          <t>포시즌</t>
        </is>
      </c>
      <c r="P964" s="4" t="n">
        <v>1</v>
      </c>
      <c r="Q964" s="4" t="n">
        <v>766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척북리 74-2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96000</v>
      </c>
      <c r="G965" s="4" t="n">
        <v>2268</v>
      </c>
      <c r="H965" s="4" t="n">
        <v>686</v>
      </c>
      <c r="I965" s="5" t="n">
        <v>139.9</v>
      </c>
      <c r="J965" s="5" t="n">
        <v>35.2</v>
      </c>
      <c r="K965" s="3" t="inlineStr">
        <is>
          <t>2차선 코너도로접 남청주ic 7분거리</t>
        </is>
      </c>
      <c r="L965" s="6">
        <f>HYPERLINK("https://fin.land.naver.com/articles/2654700849", "매물Link")</f>
        <v/>
      </c>
      <c r="M965" s="6">
        <f>HYPERLINK("https://map.naver.com/p/search/남이면 척북리 74-2", "지도Link")</f>
        <v/>
      </c>
      <c r="N965" s="6">
        <f>HYPERLINK("http://www.eum.go.kr/web/ar/lu/luLandDet.jsp?pnu=4311231024100740002&amp;isNoScr=script&amp;mode=search", "토지이음")</f>
        <v/>
      </c>
      <c r="O965" s="3" t="inlineStr">
        <is>
          <t>플러스태양</t>
        </is>
      </c>
      <c r="P965" s="4" t="n">
        <v>3</v>
      </c>
      <c r="Q965" s="4" t="n">
        <v>2268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소로각지</t>
        </is>
      </c>
    </row>
    <row r="966">
      <c r="A966" s="3" t="inlineStr">
        <is>
          <t>남이면 척산리 241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105000</v>
      </c>
      <c r="G966" s="4" t="n">
        <v>3678</v>
      </c>
      <c r="H966" s="4" t="n">
        <v>1113</v>
      </c>
      <c r="I966" s="5" t="n">
        <v>94.3</v>
      </c>
      <c r="J966" s="5" t="n">
        <v>26.4</v>
      </c>
      <c r="K966" s="3" t="inlineStr">
        <is>
          <t>척산면 면사무소근처 분할매매가능 도로조건좋은 계획관리 토지</t>
        </is>
      </c>
      <c r="L966" s="6">
        <f>HYPERLINK("https://fin.land.naver.com/articles/2650997047", "매물Link")</f>
        <v/>
      </c>
      <c r="M966" s="6">
        <f>HYPERLINK("https://map.naver.com/p/search/남이면 척산리 241", "지도Link")</f>
        <v/>
      </c>
      <c r="N966" s="6">
        <f>HYPERLINK("http://www.eum.go.kr/web/ar/lu/luLandDet.jsp?pnu=4311231021102410000&amp;isNoScr=script&amp;mode=search", "토지이음")</f>
        <v/>
      </c>
      <c r="O966" s="3" t="inlineStr">
        <is>
          <t>두원</t>
        </is>
      </c>
      <c r="P966" s="4" t="n">
        <v>1</v>
      </c>
      <c r="Q966" s="4" t="n">
        <v>3678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척산리 41-2</t>
        </is>
      </c>
      <c r="B967" s="3" t="inlineStr">
        <is>
          <t>계획관리지역</t>
        </is>
      </c>
      <c r="C967" s="3" t="inlineStr">
        <is>
          <t>공장용지</t>
        </is>
      </c>
      <c r="D967" s="3" t="inlineStr">
        <is>
          <t>공장용지</t>
        </is>
      </c>
      <c r="E967" s="3" t="inlineStr">
        <is>
          <t>매매</t>
        </is>
      </c>
      <c r="F967" s="4" t="n">
        <v>220000</v>
      </c>
      <c r="G967" s="4" t="n">
        <v>3761</v>
      </c>
      <c r="H967" s="4" t="n">
        <v>1138</v>
      </c>
      <c r="I967" s="5" t="n">
        <v>193.3</v>
      </c>
      <c r="J967" s="5" t="n">
        <v>65.7</v>
      </c>
      <c r="K967" s="3" t="inlineStr">
        <is>
          <t>청주 서원구 남이면 척산리 토지 매매</t>
        </is>
      </c>
      <c r="L967" s="6">
        <f>HYPERLINK("https://fin.land.naver.com/articles/2656327227", "매물Link")</f>
        <v/>
      </c>
      <c r="M967" s="6">
        <f>HYPERLINK("https://map.naver.com/p/search/남이면 척산리 41-2", "지도Link")</f>
        <v/>
      </c>
      <c r="N967" s="6">
        <f>HYPERLINK("http://www.eum.go.kr/web/ar/lu/luLandDet.jsp?pnu=4311231021100410002&amp;isNoScr=script&amp;mode=search",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1648</v>
      </c>
      <c r="R967" s="3" t="inlineStr">
        <is>
          <t>지정되지않음</t>
        </is>
      </c>
      <c r="S967" s="3" t="inlineStr">
        <is>
          <t>공업용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남이면 척산리 497-1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46700</v>
      </c>
      <c r="G968" s="4" t="n">
        <v>1544</v>
      </c>
      <c r="H968" s="4" t="n">
        <v>467</v>
      </c>
      <c r="I968" s="5" t="n">
        <v>100</v>
      </c>
      <c r="J968" s="5" t="n">
        <v>42</v>
      </c>
      <c r="K968" s="3" t="inlineStr">
        <is>
          <t>전남향 전원주택 주말농원 적합 버스정류장에서 약300미터</t>
        </is>
      </c>
      <c r="L968" s="6">
        <f>HYPERLINK("https://fin.land.naver.com/articles/2655100182", "매물Link")</f>
        <v/>
      </c>
      <c r="M968" s="6">
        <f>HYPERLINK("https://map.naver.com/p/search/남이면 척산리 497-1", "지도Link")</f>
        <v/>
      </c>
      <c r="N968" s="6">
        <f>HYPERLINK("http://www.eum.go.kr/web/ar/lu/luLandDet.jsp?pnu=4311231021104970001&amp;isNoScr=script&amp;mode=search", "토지이음")</f>
        <v/>
      </c>
      <c r="O968" s="3" t="inlineStr">
        <is>
          <t>한진인사무소</t>
        </is>
      </c>
      <c r="P968" s="4" t="n">
        <v>1</v>
      </c>
      <c r="Q968" s="4" t="n">
        <v>1544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척산리 528-4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21000</v>
      </c>
      <c r="G969" s="4" t="n">
        <v>635</v>
      </c>
      <c r="H969" s="4" t="n">
        <v>192</v>
      </c>
      <c r="I969" s="5" t="n">
        <v>109.4</v>
      </c>
      <c r="J969" s="5" t="n">
        <v>54.9</v>
      </c>
      <c r="K969" s="3" t="inlineStr">
        <is>
          <t>남이면 사무소근처 척산리 전원주택부지 대지 매매</t>
        </is>
      </c>
      <c r="L969" s="6">
        <f>HYPERLINK("https://fin.land.naver.com/articles/2651683218", "매물Link")</f>
        <v/>
      </c>
      <c r="M969" s="6">
        <f>HYPERLINK("https://map.naver.com/p/search/남이면 척산리 528-4", "지도Link")</f>
        <v/>
      </c>
      <c r="N969" s="6">
        <f>HYPERLINK("http://www.eum.go.kr/web/ar/lu/luLandDet.jsp?pnu=4311231021105280004&amp;isNoScr=script&amp;mode=search",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635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척산리 693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16200</v>
      </c>
      <c r="G970" s="4" t="n">
        <v>1785</v>
      </c>
      <c r="H970" s="4" t="n">
        <v>540</v>
      </c>
      <c r="I970" s="5" t="n">
        <v>30</v>
      </c>
      <c r="J970" s="5" t="n">
        <v>11.9</v>
      </c>
      <c r="K970" s="3" t="inlineStr">
        <is>
          <t>nan</t>
        </is>
      </c>
      <c r="L970" s="6">
        <f>HYPERLINK("https://fin.land.naver.com/articles/2651478139", "매물Link")</f>
        <v/>
      </c>
      <c r="M970" s="6">
        <f>HYPERLINK("https://map.naver.com/p/search/남이면 척산리 693", "지도Link")</f>
        <v/>
      </c>
      <c r="N970" s="6">
        <f>HYPERLINK("http://www.eum.go.kr/web/ar/lu/luLandDet.jsp?pnu=4311231021106930000&amp;isNoScr=script&amp;mode=search", "토지이음")</f>
        <v/>
      </c>
      <c r="O970" s="3" t="inlineStr">
        <is>
          <t>주공3단지</t>
        </is>
      </c>
      <c r="P970" s="4" t="n">
        <v>1</v>
      </c>
      <c r="Q970" s="4" t="n">
        <v>1785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급경사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척산리 79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답</t>
        </is>
      </c>
      <c r="E971" s="3" t="inlineStr">
        <is>
          <t>매매</t>
        </is>
      </c>
      <c r="F971" s="4" t="n">
        <v>34600</v>
      </c>
      <c r="G971" s="4" t="n">
        <v>4241</v>
      </c>
      <c r="H971" s="4" t="n">
        <v>1283</v>
      </c>
      <c r="I971" s="5" t="n">
        <v>27</v>
      </c>
      <c r="J971" s="5" t="n">
        <v>12</v>
      </c>
      <c r="K971" s="3" t="inlineStr">
        <is>
          <t>주변 토지 매입 가능. 도로 확장 협의.</t>
        </is>
      </c>
      <c r="L971" s="6">
        <f>HYPERLINK("https://fin.land.naver.com/articles/2654682425", "매물Link")</f>
        <v/>
      </c>
      <c r="M971" s="6">
        <f>HYPERLINK("https://map.naver.com/p/search/남이면 척산리 79", "지도Link")</f>
        <v/>
      </c>
      <c r="N971" s="6">
        <f>HYPERLINK("http://www.eum.go.kr/web/ar/lu/luLandDet.jsp?pnu=4311231021100790000&amp;isNoScr=script&amp;mode=search", "토지이음")</f>
        <v/>
      </c>
      <c r="O971" s="3" t="inlineStr">
        <is>
          <t>태광</t>
        </is>
      </c>
      <c r="P971" s="4" t="n">
        <v>1</v>
      </c>
      <c r="Q971" s="4" t="n">
        <v>2188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척산리 산117-1</t>
        </is>
      </c>
      <c r="B972" s="3" t="inlineStr">
        <is>
          <t>보전관리지역</t>
        </is>
      </c>
      <c r="C972" s="3" t="inlineStr">
        <is>
          <t>임야</t>
        </is>
      </c>
      <c r="D972" s="3" t="inlineStr">
        <is>
          <t>임야</t>
        </is>
      </c>
      <c r="E972" s="3" t="inlineStr">
        <is>
          <t>매매</t>
        </is>
      </c>
      <c r="F972" s="4" t="n">
        <v>180000</v>
      </c>
      <c r="G972" s="4" t="n">
        <v>11508</v>
      </c>
      <c r="H972" s="4" t="n">
        <v>3481</v>
      </c>
      <c r="I972" s="5" t="n">
        <v>51.7</v>
      </c>
      <c r="J972" s="5" t="n">
        <v>5.7</v>
      </c>
      <c r="K972" s="3" t="inlineStr">
        <is>
          <t>6M도로접 2필지매매 야산 대도로 인접함</t>
        </is>
      </c>
      <c r="L972" s="6">
        <f>HYPERLINK("https://fin.land.naver.com/articles/2653628121", "매물Link")</f>
        <v/>
      </c>
      <c r="M972" s="6">
        <f>HYPERLINK("https://map.naver.com/p/search/남이면 척산리 산117-1", "지도Link")</f>
        <v/>
      </c>
      <c r="N972" s="6">
        <f>HYPERLINK("http://www.eum.go.kr/web/ar/lu/luLandDet.jsp?pnu=4311231021201170001&amp;isNoScr=script&amp;mode=search", "토지이음")</f>
        <v/>
      </c>
      <c r="O972" s="3" t="inlineStr">
        <is>
          <t>플러스태양</t>
        </is>
      </c>
      <c r="P972" s="4" t="n">
        <v>1</v>
      </c>
      <c r="Q972" s="4" t="n">
        <v>9534</v>
      </c>
      <c r="R972" s="3" t="inlineStr">
        <is>
          <t>계획관리지역</t>
        </is>
      </c>
      <c r="S972" s="3" t="inlineStr">
        <is>
          <t>자연림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남이면 척산리 산92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59000</v>
      </c>
      <c r="G973" s="4" t="n">
        <v>4400</v>
      </c>
      <c r="H973" s="4" t="n">
        <v>1331</v>
      </c>
      <c r="I973" s="5" t="n">
        <v>44.3</v>
      </c>
      <c r="J973" s="5" t="n">
        <v>3.2</v>
      </c>
      <c r="K973" s="3" t="inlineStr">
        <is>
          <t>남이면 척산리 토목완료 임야 연접2필지 7,008㎡ 5억9천만원</t>
        </is>
      </c>
      <c r="L973" s="6">
        <f>HYPERLINK("https://fin.land.naver.com/articles/2656028574", "매물Link")</f>
        <v/>
      </c>
      <c r="M973" s="6">
        <f>HYPERLINK("https://map.naver.com/p/search/남이면 척산리 산92", "지도Link")</f>
        <v/>
      </c>
      <c r="N973" s="6">
        <f>HYPERLINK("http://www.eum.go.kr/web/ar/lu/luLandDet.jsp?pnu=4311231021200920000&amp;isNoScr=script&amp;mode=search", "토지이음")</f>
        <v/>
      </c>
      <c r="O973" s="3" t="inlineStr">
        <is>
          <t>일등</t>
        </is>
      </c>
      <c r="P973" s="4" t="n">
        <v>1</v>
      </c>
      <c r="Q973" s="4" t="n">
        <v>4400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남이면 척산리 산92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59000</v>
      </c>
      <c r="G974" s="4" t="n">
        <v>7008</v>
      </c>
      <c r="H974" s="4" t="n">
        <v>2120</v>
      </c>
      <c r="I974" s="5" t="n">
        <v>27.8</v>
      </c>
      <c r="J974" s="5" t="n">
        <v>3.2</v>
      </c>
      <c r="K974" s="3" t="inlineStr">
        <is>
          <t>도로접한 임야 매매 합니다</t>
        </is>
      </c>
      <c r="L974" s="6">
        <f>HYPERLINK("https://fin.land.naver.com/articles/2651026639", "매물Link")</f>
        <v/>
      </c>
      <c r="M974" s="6">
        <f>HYPERLINK("https://map.naver.com/p/search/남이면 척산리 산92", "지도Link")</f>
        <v/>
      </c>
      <c r="N974" s="6">
        <f>HYPERLINK("http://www.eum.go.kr/web/ar/lu/luLandDet.jsp?pnu=4311231021200920000&amp;isNoScr=script&amp;mode=search", "토지이음")</f>
        <v/>
      </c>
      <c r="O974" s="3" t="inlineStr">
        <is>
          <t>수피아</t>
        </is>
      </c>
      <c r="P974" s="4" t="n">
        <v>1</v>
      </c>
      <c r="Q974" s="4" t="n">
        <v>4400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남이면 팔봉리 101-3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83600</v>
      </c>
      <c r="G975" s="4" t="n">
        <v>3253</v>
      </c>
      <c r="H975" s="4" t="n">
        <v>984</v>
      </c>
      <c r="I975" s="5" t="n">
        <v>85</v>
      </c>
      <c r="J975" s="5" t="n">
        <v>22.4</v>
      </c>
      <c r="K975" s="3" t="inlineStr">
        <is>
          <t>8M 도로접 투자성 높은 토지매매</t>
        </is>
      </c>
      <c r="L975" s="6">
        <f>HYPERLINK("https://fin.land.naver.com/articles/2653630483", "매물Link")</f>
        <v/>
      </c>
      <c r="M975" s="6">
        <f>HYPERLINK("https://map.naver.com/p/search/남이면 팔봉리 101-3", "지도Link")</f>
        <v/>
      </c>
      <c r="N975" s="6">
        <f>HYPERLINK("http://www.eum.go.kr/web/ar/lu/luLandDet.jsp?pnu=4311231030101010003&amp;isNoScr=script&amp;mode=search", "토지이음")</f>
        <v/>
      </c>
      <c r="O975" s="3" t="inlineStr">
        <is>
          <t>학사</t>
        </is>
      </c>
      <c r="P975" s="4" t="n">
        <v>1</v>
      </c>
      <c r="Q975" s="4" t="n">
        <v>1775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팔봉리 122-1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25000</v>
      </c>
      <c r="G976" s="4" t="n">
        <v>793</v>
      </c>
      <c r="H976" s="4" t="n">
        <v>240</v>
      </c>
      <c r="I976" s="5" t="n">
        <v>104.2</v>
      </c>
      <c r="J976" s="5" t="n">
        <v>25.2</v>
      </c>
      <c r="K976" s="3" t="inlineStr">
        <is>
          <t>자연녹지 도로접 주택지 창고부지등 추천</t>
        </is>
      </c>
      <c r="L976" s="6">
        <f>HYPERLINK("https://fin.land.naver.com/articles/2655741947", "매물Link")</f>
        <v/>
      </c>
      <c r="M976" s="6">
        <f>HYPERLINK("https://map.naver.com/p/search/남이면 팔봉리 122-1", "지도Link")</f>
        <v/>
      </c>
      <c r="N976" s="6">
        <f>HYPERLINK("http://www.eum.go.kr/web/ar/lu/luLandDet.jsp?pnu=4311231030101220001&amp;isNoScr=script&amp;mode=search", "토지이음")</f>
        <v/>
      </c>
      <c r="O976" s="3" t="inlineStr">
        <is>
          <t>명장</t>
        </is>
      </c>
      <c r="P976" s="4" t="n">
        <v>1</v>
      </c>
      <c r="Q976" s="4" t="n">
        <v>793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팔봉리 264-5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45360</v>
      </c>
      <c r="G977" s="4" t="n">
        <v>1874</v>
      </c>
      <c r="H977" s="4" t="n">
        <v>567</v>
      </c>
      <c r="I977" s="5" t="n">
        <v>80</v>
      </c>
      <c r="J977" s="5" t="n">
        <v>20.4</v>
      </c>
      <c r="K977" s="3" t="inlineStr">
        <is>
          <t>급매,2차선 도로접함,투자,창고용도 추천</t>
        </is>
      </c>
      <c r="L977" s="6">
        <f>HYPERLINK("https://fin.land.naver.com/articles/2651873712", "매물Link")</f>
        <v/>
      </c>
      <c r="M977" s="6">
        <f>HYPERLINK("https://map.naver.com/p/search/남이면 팔봉리 264-5", "지도Link")</f>
        <v/>
      </c>
      <c r="N977" s="6">
        <f>HYPERLINK("http://www.eum.go.kr/web/ar/lu/luLandDet.jsp?pnu=4311231030102640005&amp;isNoScr=script&amp;mode=search", "토지이음")</f>
        <v/>
      </c>
      <c r="O977" s="3" t="inlineStr">
        <is>
          <t>가경아이파크5단지일타</t>
        </is>
      </c>
      <c r="P977" s="4" t="n">
        <v>1</v>
      </c>
      <c r="Q977" s="4" t="n">
        <v>1874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남이면 팔봉리 264-5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45360</v>
      </c>
      <c r="G978" s="4" t="n">
        <v>1874</v>
      </c>
      <c r="H978" s="4" t="n">
        <v>567</v>
      </c>
      <c r="I978" s="5" t="n">
        <v>80</v>
      </c>
      <c r="J978" s="5" t="n">
        <v>20.4</v>
      </c>
      <c r="K978" s="3" t="inlineStr">
        <is>
          <t>팔봉리 2차선접 투자용 저렴한 토지매매</t>
        </is>
      </c>
      <c r="L978" s="6">
        <f>HYPERLINK("https://fin.land.naver.com/articles/2654843363", "매물Link")</f>
        <v/>
      </c>
      <c r="M978" s="6">
        <f>HYPERLINK("https://map.naver.com/p/search/남이면 팔봉리 264-5", "지도Link")</f>
        <v/>
      </c>
      <c r="N978" s="6">
        <f>HYPERLINK("http://www.eum.go.kr/web/ar/lu/luLandDet.jsp?pnu=4311231030102640005&amp;isNoScr=script&amp;mode=search", "토지이음")</f>
        <v/>
      </c>
      <c r="O978" s="3" t="inlineStr">
        <is>
          <t>학사</t>
        </is>
      </c>
      <c r="P978" s="4" t="n">
        <v>1</v>
      </c>
      <c r="Q978" s="4" t="n">
        <v>1874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남이면 팔봉리 329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33400</v>
      </c>
      <c r="G979" s="4" t="n">
        <v>1006</v>
      </c>
      <c r="H979" s="4" t="n">
        <v>304</v>
      </c>
      <c r="I979" s="5" t="n">
        <v>109.9</v>
      </c>
      <c r="J979" s="5" t="n">
        <v>20.4</v>
      </c>
      <c r="K979" s="3" t="inlineStr">
        <is>
          <t>청주 팔봉리 토지매매, 2차선 도로접합, 영농 주말농장, 개발, 투자용</t>
        </is>
      </c>
      <c r="L979" s="6">
        <f>HYPERLINK("https://fin.land.naver.com/articles/2652179682", "매물Link")</f>
        <v/>
      </c>
      <c r="M979" s="6">
        <f>HYPERLINK("https://map.naver.com/p/search/남이면 팔봉리 329", "지도Link")</f>
        <v/>
      </c>
      <c r="N979" s="6">
        <f>HYPERLINK("http://www.eum.go.kr/web/ar/lu/luLandDet.jsp?pnu=4311231030103290000&amp;isNoScr=script&amp;mode=search", "토지이음")</f>
        <v/>
      </c>
      <c r="O979" s="3" t="inlineStr">
        <is>
          <t>라인</t>
        </is>
      </c>
      <c r="P979" s="4" t="n">
        <v>1</v>
      </c>
      <c r="Q979" s="4" t="n">
        <v>591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376-1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45000</v>
      </c>
      <c r="G980" s="4" t="n">
        <v>1544</v>
      </c>
      <c r="H980" s="4" t="n">
        <v>467</v>
      </c>
      <c r="I980" s="5" t="n">
        <v>96.40000000000001</v>
      </c>
      <c r="J980" s="5" t="n">
        <v>17.4</v>
      </c>
      <c r="K980" s="3" t="inlineStr">
        <is>
          <t>건축허가완료 제조업가능 저렴한 매물</t>
        </is>
      </c>
      <c r="L980" s="6">
        <f>HYPERLINK("https://fin.land.naver.com/articles/2654838437", "매물Link")</f>
        <v/>
      </c>
      <c r="M980" s="6">
        <f>HYPERLINK("https://map.naver.com/p/search/남이면 팔봉리 376-1", "지도Link")</f>
        <v/>
      </c>
      <c r="N980" s="6">
        <f>HYPERLINK("http://www.eum.go.kr/web/ar/lu/luLandDet.jsp?pnu=4311231030103760001&amp;isNoScr=script&amp;mode=search", "토지이음")</f>
        <v/>
      </c>
      <c r="O980" s="3" t="inlineStr">
        <is>
          <t>학사</t>
        </is>
      </c>
      <c r="P980" s="4" t="n">
        <v>2</v>
      </c>
      <c r="Q980" s="4" t="n">
        <v>1544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팔봉리 51-11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22000</v>
      </c>
      <c r="G981" s="4" t="n">
        <v>840</v>
      </c>
      <c r="H981" s="4" t="n">
        <v>254</v>
      </c>
      <c r="I981" s="5" t="n">
        <v>86.59999999999999</v>
      </c>
      <c r="J981" s="5" t="n">
        <v>50.2</v>
      </c>
      <c r="K981" s="3" t="inlineStr">
        <is>
          <t>청주 팔봉리 전원주택용지 매매,시내접근성 우수,가격절충,도로지분포함</t>
        </is>
      </c>
      <c r="L981" s="6">
        <f>HYPERLINK("https://fin.land.naver.com/articles/2653376919", "매물Link")</f>
        <v/>
      </c>
      <c r="M981" s="6">
        <f>HYPERLINK("https://map.naver.com/p/search/남이면 팔봉리 51-11", "지도Link")</f>
        <v/>
      </c>
      <c r="N981" s="6">
        <f>HYPERLINK("http://www.eum.go.kr/web/ar/lu/luLandDet.jsp?pnu=4311231030100510011&amp;isNoScr=script&amp;mode=search",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732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팔봉리 산22-11</t>
        </is>
      </c>
      <c r="B982" s="3" t="inlineStr">
        <is>
          <t>보전녹지지역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18000</v>
      </c>
      <c r="G982" s="4" t="n">
        <v>650</v>
      </c>
      <c r="H982" s="4" t="n">
        <v>197</v>
      </c>
      <c r="I982" s="5" t="n">
        <v>91.40000000000001</v>
      </c>
      <c r="J982" s="5" t="n">
        <v>41</v>
      </c>
      <c r="K982" s="3" t="inlineStr">
        <is>
          <t>전원주택 최적지 매매 저렴한금액 가격조정가능 도로지분있음</t>
        </is>
      </c>
      <c r="L982" s="6">
        <f>HYPERLINK("https://fin.land.naver.com/articles/2651030939", "매물Link")</f>
        <v/>
      </c>
      <c r="M982" s="6">
        <f>HYPERLINK("https://map.naver.com/p/search/남이면 팔봉리 산22-11", "지도Link")</f>
        <v/>
      </c>
      <c r="N982" s="6">
        <f>HYPERLINK("http://www.eum.go.kr/web/ar/lu/luLandDet.jsp?pnu=4311231030200220011&amp;isNoScr=script&amp;mode=search",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650</v>
      </c>
      <c r="R982" s="3" t="inlineStr">
        <is>
          <t>자연녹지지역</t>
        </is>
      </c>
      <c r="S982" s="3" t="inlineStr">
        <is>
          <t>주거나지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세로각지(가)</t>
        </is>
      </c>
    </row>
    <row r="983">
      <c r="A983" s="3" t="inlineStr">
        <is>
          <t>남이면 팔봉리 산23-14</t>
        </is>
      </c>
      <c r="B983" s="3" t="inlineStr">
        <is>
          <t>보전녹지지역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</v>
      </c>
      <c r="G983" s="4" t="n">
        <v>865</v>
      </c>
      <c r="H983" s="4" t="n">
        <v>262</v>
      </c>
      <c r="I983" s="5" t="n">
        <v>84</v>
      </c>
      <c r="J983" s="5" t="n">
        <v>40.1</v>
      </c>
      <c r="K983" s="3" t="inlineStr">
        <is>
          <t>급매, 팔봉리 전원주택 토지매매</t>
        </is>
      </c>
      <c r="L983" s="6">
        <f>HYPERLINK("https://fin.land.naver.com/articles/2656379688", "매물Link")</f>
        <v/>
      </c>
      <c r="M983" s="6">
        <f>HYPERLINK("https://map.naver.com/p/search/남이면 팔봉리 산23-14", "지도Link")</f>
        <v/>
      </c>
      <c r="N983" s="6">
        <f>HYPERLINK("http://www.eum.go.kr/web/ar/lu/luLandDet.jsp?pnu=4311231030200230014&amp;isNoScr=script&amp;mode=search", "토지이음")</f>
        <v/>
      </c>
      <c r="O983" s="3" t="inlineStr">
        <is>
          <t>강남하택</t>
        </is>
      </c>
      <c r="P983" s="4" t="n">
        <v>1</v>
      </c>
      <c r="Q983" s="4" t="n">
        <v>865</v>
      </c>
      <c r="R983" s="3" t="inlineStr">
        <is>
          <t>자연녹지지역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산40-16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60000</v>
      </c>
      <c r="G984" s="4" t="n">
        <v>35282</v>
      </c>
      <c r="H984" s="4" t="n">
        <v>10673</v>
      </c>
      <c r="I984" s="5" t="n">
        <v>5.6</v>
      </c>
      <c r="J984" s="5" t="n">
        <v>1.7</v>
      </c>
      <c r="K984" s="3" t="inlineStr">
        <is>
          <t>남이면 팔봉리에 위치한 임야 급매</t>
        </is>
      </c>
      <c r="L984" s="6">
        <f>HYPERLINK("https://fin.land.naver.com/articles/2653402243", "매물Link")</f>
        <v/>
      </c>
      <c r="M984" s="6">
        <f>HYPERLINK("https://map.naver.com/p/search/남이면 팔봉리 산40-16", "지도Link")</f>
        <v/>
      </c>
      <c r="N984" s="6">
        <f>HYPERLINK("http://www.eum.go.kr/web/ar/lu/luLandDet.jsp?pnu=4311231030200400016&amp;isNoScr=script&amp;mode=search", "토지이음")</f>
        <v/>
      </c>
      <c r="O984" s="3" t="inlineStr">
        <is>
          <t>대지</t>
        </is>
      </c>
      <c r="P984" s="4" t="n">
        <v>1</v>
      </c>
      <c r="Q984" s="4" t="n">
        <v>35282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다정동 641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60000</v>
      </c>
      <c r="G985" s="4" t="n">
        <v>409</v>
      </c>
      <c r="H985" s="4" t="n">
        <v>124</v>
      </c>
      <c r="I985" s="5" t="n">
        <v>483.9</v>
      </c>
      <c r="J985" s="5" t="n">
        <v>324.8</v>
      </c>
      <c r="K985" s="3" t="inlineStr">
        <is>
          <t>3면코너각지 대형필지 조율가능</t>
        </is>
      </c>
      <c r="L985" s="6">
        <f>HYPERLINK("https://fin.land.naver.com/articles/2653668178", "매물Link")</f>
        <v/>
      </c>
      <c r="M985" s="6">
        <f>HYPERLINK("https://map.naver.com/p/search/다정동 641", "지도Link")</f>
        <v/>
      </c>
      <c r="N985" s="6">
        <f>HYPERLINK("http://www.eum.go.kr/web/ar/lu/luLandDet.jsp?pnu=3611010900106410000&amp;isNoScr=script&amp;mode=search", "토지이음")</f>
        <v/>
      </c>
      <c r="O985" s="3" t="inlineStr">
        <is>
          <t>세종스타</t>
        </is>
      </c>
      <c r="P985" s="4" t="n">
        <v>1</v>
      </c>
      <c r="Q985" s="4" t="n">
        <v>408.8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중로각지</t>
        </is>
      </c>
    </row>
    <row r="986">
      <c r="A986" s="3" t="inlineStr">
        <is>
          <t>다정동 643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68000</v>
      </c>
      <c r="G986" s="4" t="n">
        <v>535</v>
      </c>
      <c r="H986" s="4" t="n">
        <v>162</v>
      </c>
      <c r="I986" s="5" t="n">
        <v>419.8</v>
      </c>
      <c r="J986" s="5" t="n">
        <v>278</v>
      </c>
      <c r="K986" s="3" t="inlineStr">
        <is>
          <t>급매 추가조율가능 161.5p 공원접함 프라이버시최상</t>
        </is>
      </c>
      <c r="L986" s="6">
        <f>HYPERLINK("https://fin.land.naver.com/articles/2654659639", "매물Link")</f>
        <v/>
      </c>
      <c r="M986" s="6">
        <f>HYPERLINK("https://map.naver.com/p/search/다정동 643", "지도Link")</f>
        <v/>
      </c>
      <c r="N986" s="6">
        <f>HYPERLINK("http://www.eum.go.kr/web/ar/lu/luLandDet.jsp?pnu=3611010900106430000&amp;isNoScr=script&amp;mode=search",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535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다정동 643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68000</v>
      </c>
      <c r="G987" s="4" t="n">
        <v>534</v>
      </c>
      <c r="H987" s="4" t="n">
        <v>162</v>
      </c>
      <c r="I987" s="5" t="n">
        <v>419.8</v>
      </c>
      <c r="J987" s="5" t="n">
        <v>278</v>
      </c>
      <c r="K987" s="3" t="inlineStr">
        <is>
          <t>공원 인근 다정동 단독주택지, 넓은 면적 추천</t>
        </is>
      </c>
      <c r="L987" s="6">
        <f>HYPERLINK("https://fin.land.naver.com/articles/2656268336", "매물Link")</f>
        <v/>
      </c>
      <c r="M987" s="6">
        <f>HYPERLINK("https://map.naver.com/p/search/다정동 643", "지도Link")</f>
        <v/>
      </c>
      <c r="N987" s="6">
        <f>HYPERLINK("http://www.eum.go.kr/web/ar/lu/luLandDet.jsp?pnu=3611010900106430000&amp;isNoScr=script&amp;mode=search",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535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535</v>
      </c>
      <c r="H988" s="4" t="n">
        <v>162</v>
      </c>
      <c r="I988" s="5" t="n">
        <v>419.8</v>
      </c>
      <c r="J988" s="5" t="n">
        <v>278</v>
      </c>
      <c r="K988" s="3" t="inlineStr">
        <is>
          <t>162.1p, 평단가 낮은 다정동 급매 토지</t>
        </is>
      </c>
      <c r="L988" s="6">
        <f>HYPERLINK("https://fin.land.naver.com/articles/2654897667",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651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60000</v>
      </c>
      <c r="G989" s="4" t="n">
        <v>300</v>
      </c>
      <c r="H989" s="4" t="n">
        <v>91</v>
      </c>
      <c r="I989" s="5" t="n">
        <v>659.3</v>
      </c>
      <c r="J989" s="5" t="n">
        <v>292.7</v>
      </c>
      <c r="K989" s="3" t="inlineStr">
        <is>
          <t>총 90.9p, 다정동 조용한 단독주택지, 정남향</t>
        </is>
      </c>
      <c r="L989" s="6">
        <f>HYPERLINK("https://fin.land.naver.com/articles/2652842480", "매물Link")</f>
        <v/>
      </c>
      <c r="M989" s="6">
        <f>HYPERLINK("https://map.naver.com/p/search/다정동 651", "지도Link")</f>
        <v/>
      </c>
      <c r="N989" s="6">
        <f>HYPERLINK("http://www.eum.go.kr/web/ar/lu/luLandDet.jsp?pnu=3611010900106510000&amp;isNoScr=script&amp;mode=search",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다정동 651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60000</v>
      </c>
      <c r="G990" s="4" t="n">
        <v>300</v>
      </c>
      <c r="H990" s="4" t="n">
        <v>91</v>
      </c>
      <c r="I990" s="5" t="n">
        <v>659.3</v>
      </c>
      <c r="J990" s="5" t="n">
        <v>292.7</v>
      </c>
      <c r="K990" s="3" t="inlineStr">
        <is>
          <t>다정동에서 귀한 정남향 택지 I 공원을 크게 품은 지</t>
        </is>
      </c>
      <c r="L990" s="6">
        <f>HYPERLINK("https://fin.land.naver.com/articles/2655943140", "매물Link")</f>
        <v/>
      </c>
      <c r="M990" s="6">
        <f>HYPERLINK("https://map.naver.com/p/search/다정동 651", "지도Link")</f>
        <v/>
      </c>
      <c r="N990" s="6">
        <f>HYPERLINK("http://www.eum.go.kr/web/ar/lu/luLandDet.jsp?pnu=3611010900106510000&amp;isNoScr=script&amp;mode=search", "토지이음")</f>
        <v/>
      </c>
      <c r="O990" s="3" t="inlineStr">
        <is>
          <t>세종신한</t>
        </is>
      </c>
      <c r="P990" s="4" t="n">
        <v>3</v>
      </c>
      <c r="Q990" s="4" t="n">
        <v>300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총 90.9p, 다정동 가격좋은 조용한 위치 토지매매</t>
        </is>
      </c>
      <c r="L991" s="6">
        <f>HYPERLINK("https://fin.land.naver.com/articles/2654927950",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667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62000</v>
      </c>
      <c r="G992" s="4" t="n">
        <v>336</v>
      </c>
      <c r="H992" s="4" t="n">
        <v>102</v>
      </c>
      <c r="I992" s="5" t="n">
        <v>607.8</v>
      </c>
      <c r="J992" s="5" t="n">
        <v>324.8</v>
      </c>
      <c r="K992" s="3" t="inlineStr">
        <is>
          <t>다정동 단독상가 매매, 입지 좋은 조용한 위치</t>
        </is>
      </c>
      <c r="L992" s="6">
        <f>HYPERLINK("https://fin.land.naver.com/articles/2653565556", "매물Link")</f>
        <v/>
      </c>
      <c r="M992" s="6">
        <f>HYPERLINK("https://map.naver.com/p/search/다정동 667", "지도Link")</f>
        <v/>
      </c>
      <c r="N992" s="6">
        <f>HYPERLINK("http://www.eum.go.kr/web/ar/lu/luLandDet.jsp?pnu=3611010900106670000&amp;isNoScr=script&amp;mode=search",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336.3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672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331</v>
      </c>
      <c r="H993" s="4" t="n">
        <v>100</v>
      </c>
      <c r="I993" s="5" t="n">
        <v>650</v>
      </c>
      <c r="J993" s="5" t="n">
        <v>324.8</v>
      </c>
      <c r="K993" s="3" t="inlineStr">
        <is>
          <t>개방감 좋은 코너 택지｜세종 공주 BRT 교통 이용 편리</t>
        </is>
      </c>
      <c r="L993" s="6">
        <f>HYPERLINK("https://fin.land.naver.com/articles/2655940824", "매물Link")</f>
        <v/>
      </c>
      <c r="M993" s="6">
        <f>HYPERLINK("https://map.naver.com/p/search/다정동 672", "지도Link")</f>
        <v/>
      </c>
      <c r="N993" s="6">
        <f>HYPERLINK("http://www.eum.go.kr/web/ar/lu/luLandDet.jsp?pnu=3611010900106720000&amp;isNoScr=script&amp;mode=search", "토지이음")</f>
        <v/>
      </c>
      <c r="O993" s="3" t="inlineStr">
        <is>
          <t>세종신한</t>
        </is>
      </c>
      <c r="P993" s="4" t="n">
        <v>1</v>
      </c>
      <c r="Q993" s="4" t="n">
        <v>331.3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674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43000</v>
      </c>
      <c r="G994" s="4" t="n">
        <v>290</v>
      </c>
      <c r="H994" s="4" t="n">
        <v>88</v>
      </c>
      <c r="I994" s="5" t="n">
        <v>488.6</v>
      </c>
      <c r="J994" s="5" t="n">
        <v>292.7</v>
      </c>
      <c r="K994" s="3" t="inlineStr">
        <is>
          <t>총 87.9p, 다정동 저렴한 단독주택지 매매</t>
        </is>
      </c>
      <c r="L994" s="6">
        <f>HYPERLINK("https://fin.land.naver.com/articles/2652839084", "매물Link")</f>
        <v/>
      </c>
      <c r="M994" s="6">
        <f>HYPERLINK("https://map.naver.com/p/search/다정동 674", "지도Link")</f>
        <v/>
      </c>
      <c r="N994" s="6">
        <f>HYPERLINK("http://www.eum.go.kr/web/ar/lu/luLandDet.jsp?pnu=3611010900106740000&amp;isNoScr=script&amp;mode=search",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290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다정동 674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43000</v>
      </c>
      <c r="G995" s="4" t="n">
        <v>290</v>
      </c>
      <c r="H995" s="4" t="n">
        <v>88</v>
      </c>
      <c r="I995" s="5" t="n">
        <v>488.6</v>
      </c>
      <c r="J995" s="5" t="n">
        <v>292.7</v>
      </c>
      <c r="K995" s="3" t="inlineStr">
        <is>
          <t>저렴한매매 가격조정가능</t>
        </is>
      </c>
      <c r="L995" s="6">
        <f>HYPERLINK("https://fin.land.naver.com/articles/2654749132", "매물Link")</f>
        <v/>
      </c>
      <c r="M995" s="6">
        <f>HYPERLINK("https://map.naver.com/p/search/다정동 674", "지도Link")</f>
        <v/>
      </c>
      <c r="N995" s="6">
        <f>HYPERLINK("http://www.eum.go.kr/web/ar/lu/luLandDet.jsp?pnu=3611010900106740000&amp;isNoScr=script&amp;mode=search", "토지이음")</f>
        <v/>
      </c>
      <c r="O995" s="3" t="inlineStr">
        <is>
          <t>고운동리치세종</t>
        </is>
      </c>
      <c r="P995" s="4" t="n">
        <v>3</v>
      </c>
      <c r="Q995" s="4" t="n">
        <v>290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총 87.9p, 토지 초급매, 추천매물</t>
        </is>
      </c>
      <c r="L996" s="6">
        <f>HYPERLINK("https://fin.land.naver.com/articles/2654897202",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62000</v>
      </c>
      <c r="G997" s="4" t="n">
        <v>270</v>
      </c>
      <c r="H997" s="4" t="n">
        <v>82</v>
      </c>
      <c r="I997" s="5" t="n">
        <v>756.1</v>
      </c>
      <c r="J997" s="5" t="n">
        <v>292.7</v>
      </c>
      <c r="K997" s="3" t="inlineStr">
        <is>
          <t>남동향 택지 I 세종 공주 BRT 교통 이용 가능</t>
        </is>
      </c>
      <c r="L997" s="6">
        <f>HYPERLINK("https://fin.land.naver.com/articles/2655948793", "매물Link")</f>
        <v/>
      </c>
      <c r="M997" s="6">
        <f>HYPERLINK("https://map.naver.com/p/search/다정동 677", "지도Link")</f>
        <v/>
      </c>
      <c r="N997" s="6">
        <f>HYPERLINK("http://www.eum.go.kr/web/ar/lu/luLandDet.jsp?pnu=3611010900106770000&amp;isNoScr=script&amp;mode=search", "토지이음")</f>
        <v/>
      </c>
      <c r="O997" s="3" t="inlineStr">
        <is>
          <t>세종신한</t>
        </is>
      </c>
      <c r="P997" s="4" t="n">
        <v>3</v>
      </c>
      <c r="Q997" s="4" t="n">
        <v>270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688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45000</v>
      </c>
      <c r="G998" s="4" t="n">
        <v>273</v>
      </c>
      <c r="H998" s="4" t="n">
        <v>83</v>
      </c>
      <c r="I998" s="5" t="n">
        <v>542.2</v>
      </c>
      <c r="J998" s="5" t="n">
        <v>313.1</v>
      </c>
      <c r="K998" s="3" t="inlineStr">
        <is>
          <t>조율가능 편의시설옆 건축하기 좋은 모양</t>
        </is>
      </c>
      <c r="L998" s="6">
        <f>HYPERLINK("https://fin.land.naver.com/articles/2651087752", "매물Link")</f>
        <v/>
      </c>
      <c r="M998" s="6">
        <f>HYPERLINK("https://map.naver.com/p/search/다정동 688", "지도Link")</f>
        <v/>
      </c>
      <c r="N998" s="6">
        <f>HYPERLINK("http://www.eum.go.kr/web/ar/lu/luLandDet.jsp?pnu=3611010900106880000&amp;isNoScr=script&amp;mode=search",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273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중로한면</t>
        </is>
      </c>
    </row>
    <row r="999">
      <c r="A999" s="3" t="inlineStr">
        <is>
          <t>다정동 688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273</v>
      </c>
      <c r="H999" s="4" t="n">
        <v>83</v>
      </c>
      <c r="I999" s="5" t="n">
        <v>542.2</v>
      </c>
      <c r="J999" s="5" t="n">
        <v>313.1</v>
      </c>
      <c r="K999" s="3" t="inlineStr">
        <is>
          <t>조용한 단독주택지,급매</t>
        </is>
      </c>
      <c r="L999" s="6">
        <f>HYPERLINK("https://fin.land.naver.com/articles/2654512640", "매물Link")</f>
        <v/>
      </c>
      <c r="M999" s="6">
        <f>HYPERLINK("https://map.naver.com/p/search/다정동 688", "지도Link")</f>
        <v/>
      </c>
      <c r="N999" s="6">
        <f>HYPERLINK("http://www.eum.go.kr/web/ar/lu/luLandDet.jsp?pnu=3611010900106880000&amp;isNoScr=script&amp;mode=search", "토지이음")</f>
        <v/>
      </c>
      <c r="O999" s="3" t="inlineStr">
        <is>
          <t>세종금주</t>
        </is>
      </c>
      <c r="P999" s="4" t="n">
        <v>1</v>
      </c>
      <c r="Q999" s="4" t="n">
        <v>273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중로한면</t>
        </is>
      </c>
    </row>
    <row r="1000">
      <c r="A1000" s="3" t="inlineStr">
        <is>
          <t>다정동 728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351</v>
      </c>
      <c r="H1000" s="4" t="n">
        <v>106</v>
      </c>
      <c r="I1000" s="5" t="n">
        <v>518.9</v>
      </c>
      <c r="J1000" s="5" t="n">
        <v>341.2</v>
      </c>
      <c r="K1000" s="3" t="inlineStr">
        <is>
          <t>급매,위치 좋은곳</t>
        </is>
      </c>
      <c r="L1000" s="6">
        <f>HYPERLINK("https://fin.land.naver.com/articles/2655225992", "매물Link")</f>
        <v/>
      </c>
      <c r="M1000" s="6">
        <f>HYPERLINK("https://map.naver.com/p/search/다정동 728", "지도Link")</f>
        <v/>
      </c>
      <c r="N1000" s="6">
        <f>HYPERLINK("http://www.eum.go.kr/web/ar/lu/luLandDet.jsp?pnu=3611010900107280000&amp;isNoScr=script&amp;mode=search", "토지이음")</f>
        <v/>
      </c>
      <c r="O1000" s="3" t="inlineStr">
        <is>
          <t>힐데스하임</t>
        </is>
      </c>
      <c r="P1000" s="4" t="n">
        <v>1</v>
      </c>
      <c r="Q1000" s="4" t="n">
        <v>351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중로한면</t>
        </is>
      </c>
    </row>
    <row r="1001">
      <c r="A1001" s="3" t="inlineStr">
        <is>
          <t>다정동 729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67000</v>
      </c>
      <c r="G1001" s="4" t="n">
        <v>368</v>
      </c>
      <c r="H1001" s="4" t="n">
        <v>111</v>
      </c>
      <c r="I1001" s="5" t="n">
        <v>603.6</v>
      </c>
      <c r="J1001" s="5" t="n">
        <v>341.2</v>
      </c>
      <c r="K1001" s="3" t="inlineStr">
        <is>
          <t>111.8p, 삼거리 코너, 정남향, 다정동 단독주택 토지매매</t>
        </is>
      </c>
      <c r="L1001" s="6">
        <f>HYPERLINK("https://fin.land.naver.com/articles/2654225284", "매물Link")</f>
        <v/>
      </c>
      <c r="M1001" s="6">
        <f>HYPERLINK("https://map.naver.com/p/search/다정동 729", "지도Link")</f>
        <v/>
      </c>
      <c r="N1001" s="6">
        <f>HYPERLINK("http://www.eum.go.kr/web/ar/lu/luLandDet.jsp?pnu=3611010900107290000&amp;isNoScr=script&amp;mode=search",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369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중로한면</t>
        </is>
      </c>
    </row>
    <row r="1002">
      <c r="A1002" s="3" t="inlineStr">
        <is>
          <t>다정동 729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67000</v>
      </c>
      <c r="G1002" s="4" t="n">
        <v>369</v>
      </c>
      <c r="H1002" s="4" t="n">
        <v>112</v>
      </c>
      <c r="I1002" s="5" t="n">
        <v>598.2</v>
      </c>
      <c r="J1002" s="5" t="n">
        <v>341.2</v>
      </c>
      <c r="K1002" s="3" t="inlineStr">
        <is>
          <t>다정동 단독주택토지, 코너입지, 111.8p</t>
        </is>
      </c>
      <c r="L1002" s="6">
        <f>HYPERLINK("https://fin.land.naver.com/articles/2652838896", "매물Link")</f>
        <v/>
      </c>
      <c r="M1002" s="6">
        <f>HYPERLINK("https://map.naver.com/p/search/다정동 729", "지도Link")</f>
        <v/>
      </c>
      <c r="N1002" s="6">
        <f>HYPERLINK("http://www.eum.go.kr/web/ar/lu/luLandDet.jsp?pnu=3611010900107290000&amp;isNoScr=script&amp;mode=search",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369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369</v>
      </c>
      <c r="H1003" s="4" t="n">
        <v>112</v>
      </c>
      <c r="I1003" s="5" t="n">
        <v>598.2</v>
      </c>
      <c r="J1003" s="5" t="n">
        <v>341.2</v>
      </c>
      <c r="K1003" s="3" t="inlineStr">
        <is>
          <t>코너 택지 개방감 일조권 확보 I 정부세종청사 세종호수공원 차량 10</t>
        </is>
      </c>
      <c r="L1003" s="6">
        <f>HYPERLINK("https://fin.land.naver.com/articles/2655996250",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세종신한</t>
        </is>
      </c>
      <c r="P1003" s="4" t="n">
        <v>3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751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278</v>
      </c>
      <c r="H1004" s="4" t="n">
        <v>84</v>
      </c>
      <c r="I1004" s="5" t="n">
        <v>583.3</v>
      </c>
      <c r="J1004" s="5" t="n">
        <v>337.9</v>
      </c>
      <c r="K1004" s="3" t="inlineStr">
        <is>
          <t>코너각지, 가격조율가능, 위치좋음, 모양좋음, 전화주세요.</t>
        </is>
      </c>
      <c r="L1004" s="6">
        <f>HYPERLINK("https://fin.land.naver.com/articles/2654035759", "매물Link")</f>
        <v/>
      </c>
      <c r="M1004" s="6">
        <f>HYPERLINK("https://map.naver.com/p/search/다정동 751", "지도Link")</f>
        <v/>
      </c>
      <c r="N1004" s="6">
        <f>HYPERLINK("http://www.eum.go.kr/web/ar/lu/luLandDet.jsp?pnu=3611010900107510000&amp;isNoScr=script&amp;mode=search", "토지이음")</f>
        <v/>
      </c>
      <c r="O1004" s="3" t="inlineStr">
        <is>
          <t>다정동첫번째</t>
        </is>
      </c>
      <c r="P1004" s="4" t="n">
        <v>1</v>
      </c>
      <c r="Q1004" s="4" t="n">
        <v>278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756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83000</v>
      </c>
      <c r="G1005" s="4" t="n">
        <v>368</v>
      </c>
      <c r="H1005" s="4" t="n">
        <v>111</v>
      </c>
      <c r="I1005" s="5" t="n">
        <v>747.7</v>
      </c>
      <c r="J1005" s="5" t="n">
        <v>326</v>
      </c>
      <c r="K1005" s="3" t="inlineStr">
        <is>
          <t>다정동 조용한 위치 단독주택 매매, 코너위치</t>
        </is>
      </c>
      <c r="L1005" s="6">
        <f>HYPERLINK("https://fin.land.naver.com/articles/2650890648", "매물Link")</f>
        <v/>
      </c>
      <c r="M1005" s="6">
        <f>HYPERLINK("https://map.naver.com/p/search/다정동 756", "지도Link")</f>
        <v/>
      </c>
      <c r="N1005" s="6">
        <f>HYPERLINK("http://www.eum.go.kr/web/ar/lu/luLandDet.jsp?pnu=3611010900107560000&amp;isNoScr=script&amp;mode=search",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83625</v>
      </c>
      <c r="G1006" s="4" t="n">
        <v>368</v>
      </c>
      <c r="H1006" s="4" t="n">
        <v>111</v>
      </c>
      <c r="I1006" s="5" t="n">
        <v>753.4</v>
      </c>
      <c r="J1006" s="5" t="n">
        <v>326</v>
      </c>
      <c r="K1006" s="3" t="inlineStr">
        <is>
          <t>코너자리 위치 좋음, 넓은토지</t>
        </is>
      </c>
      <c r="L1006" s="6">
        <f>HYPERLINK("https://fin.land.naver.com/articles/2654222787", "매물Link")</f>
        <v/>
      </c>
      <c r="M1006" s="6">
        <f>HYPERLINK("https://map.naver.com/p/search/다정동 756", "지도Link")</f>
        <v/>
      </c>
      <c r="N1006" s="6">
        <f>HYPERLINK("http://www.eum.go.kr/web/ar/lu/luLandDet.jsp?pnu=3611010900107560000&amp;isNoScr=script&amp;mode=search",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368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중로한면</t>
        </is>
      </c>
    </row>
    <row r="1007">
      <c r="A1007" s="3" t="inlineStr">
        <is>
          <t>다정동 769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50000</v>
      </c>
      <c r="G1007" s="4" t="n">
        <v>269</v>
      </c>
      <c r="H1007" s="4" t="n">
        <v>81</v>
      </c>
      <c r="I1007" s="5" t="n">
        <v>617.3</v>
      </c>
      <c r="J1007" s="5" t="n">
        <v>313.8</v>
      </c>
      <c r="K1007" s="3" t="inlineStr">
        <is>
          <t>세종시 다정동 안쪽 코너각지 나대지</t>
        </is>
      </c>
      <c r="L1007" s="6">
        <f>HYPERLINK("https://fin.land.naver.com/articles/2651425080", "매물Link")</f>
        <v/>
      </c>
      <c r="M1007" s="6">
        <f>HYPERLINK("https://map.naver.com/p/search/다정동 769", "지도Link")</f>
        <v/>
      </c>
      <c r="N1007" s="6">
        <f>HYPERLINK("http://www.eum.go.kr/web/ar/lu/luLandDet.jsp?pnu=3611010900107690000&amp;isNoScr=script&amp;mode=search", "토지이음")</f>
        <v/>
      </c>
      <c r="O1007" s="3" t="inlineStr">
        <is>
          <t>청명</t>
        </is>
      </c>
      <c r="P1007" s="4" t="n">
        <v>1</v>
      </c>
      <c r="Q1007" s="4" t="n">
        <v>269.7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소로각지</t>
        </is>
      </c>
    </row>
    <row r="1008">
      <c r="A1008" s="3" t="inlineStr">
        <is>
          <t>다정동 772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69500</v>
      </c>
      <c r="G1008" s="4" t="n">
        <v>279</v>
      </c>
      <c r="H1008" s="4" t="n">
        <v>84</v>
      </c>
      <c r="I1008" s="5" t="n">
        <v>827.4</v>
      </c>
      <c r="J1008" s="5" t="n">
        <v>304.6</v>
      </c>
      <c r="K1008" s="3" t="inlineStr">
        <is>
          <t>총 84.8p, 다정동 입지 좋은 단독주태 토지</t>
        </is>
      </c>
      <c r="L1008" s="6">
        <f>HYPERLINK("https://fin.land.naver.com/articles/2654927003", "매물Link")</f>
        <v/>
      </c>
      <c r="M1008" s="6">
        <f>HYPERLINK("https://map.naver.com/p/search/다정동 772", "지도Link")</f>
        <v/>
      </c>
      <c r="N1008" s="6">
        <f>HYPERLINK("http://www.eum.go.kr/web/ar/lu/luLandDet.jsp?pnu=3611010900107720000&amp;isNoScr=script&amp;mode=search",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279.7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772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69500</v>
      </c>
      <c r="G1009" s="4" t="n">
        <v>279</v>
      </c>
      <c r="H1009" s="4" t="n">
        <v>84</v>
      </c>
      <c r="I1009" s="5" t="n">
        <v>827.4</v>
      </c>
      <c r="J1009" s="5" t="n">
        <v>304.6</v>
      </c>
      <c r="K1009" s="3" t="inlineStr">
        <is>
          <t>84.8p, 정남향, 다정동 단독주택지</t>
        </is>
      </c>
      <c r="L1009" s="6">
        <f>HYPERLINK("https://fin.land.naver.com/articles/2653565355", "매물Link")</f>
        <v/>
      </c>
      <c r="M1009" s="6">
        <f>HYPERLINK("https://map.naver.com/p/search/다정동 772", "지도Link")</f>
        <v/>
      </c>
      <c r="N1009" s="6">
        <f>HYPERLINK("http://www.eum.go.kr/web/ar/lu/luLandDet.jsp?pnu=3611010900107720000&amp;isNoScr=script&amp;mode=search",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279.7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69700</v>
      </c>
      <c r="G1010" s="4" t="n">
        <v>279</v>
      </c>
      <c r="H1010" s="4" t="n">
        <v>84</v>
      </c>
      <c r="I1010" s="5" t="n">
        <v>829.8</v>
      </c>
      <c r="J1010" s="5" t="n">
        <v>304.6</v>
      </c>
      <c r="K1010" s="3" t="inlineStr">
        <is>
          <t>다정동 접근성 좋은 주택지 매매</t>
        </is>
      </c>
      <c r="L1010" s="6">
        <f>HYPERLINK("https://fin.land.naver.com/articles/2652651256",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태양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69500</v>
      </c>
      <c r="G1011" s="4" t="n">
        <v>280</v>
      </c>
      <c r="H1011" s="4" t="n">
        <v>85</v>
      </c>
      <c r="I1011" s="5" t="n">
        <v>817.6</v>
      </c>
      <c r="J1011" s="5" t="n">
        <v>304.6</v>
      </c>
      <c r="K1011" s="3" t="inlineStr">
        <is>
          <t>nan</t>
        </is>
      </c>
      <c r="L1011" s="6">
        <f>HYPERLINK("https://fin.land.naver.com/articles/2651035742", "매물Link")</f>
        <v/>
      </c>
      <c r="M1011" s="6">
        <f>HYPERLINK("https://map.naver.com/p/search/다정동 773", "지도Link")</f>
        <v/>
      </c>
      <c r="N1011" s="6">
        <f>HYPERLINK("http://www.eum.go.kr/web/ar/lu/luLandDet.jsp?pnu=3611010900107730000&amp;isNoScr=script&amp;mode=search", "토지이음")</f>
        <v/>
      </c>
      <c r="O1011" s="3" t="inlineStr">
        <is>
          <t>디아트성심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44000</v>
      </c>
      <c r="G1012" s="4" t="n">
        <v>279</v>
      </c>
      <c r="H1012" s="4" t="n">
        <v>84</v>
      </c>
      <c r="I1012" s="5" t="n">
        <v>523.8</v>
      </c>
      <c r="J1012" s="5" t="n">
        <v>304.6</v>
      </c>
      <c r="K1012" s="3" t="inlineStr">
        <is>
          <t>급매 남향 택지 조용한위치 상권 학교 가까움</t>
        </is>
      </c>
      <c r="L1012" s="6">
        <f>HYPERLINK("https://fin.land.naver.com/articles/2655177158", "매물Link")</f>
        <v/>
      </c>
      <c r="M1012" s="6">
        <f>HYPERLINK("https://map.naver.com/p/search/다정동 773", "지도Link")</f>
        <v/>
      </c>
      <c r="N1012" s="6">
        <f>HYPERLINK("http://www.eum.go.kr/web/ar/lu/luLandDet.jsp?pnu=3611010900107730000&amp;isNoScr=script&amp;mode=search",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337.9</v>
      </c>
      <c r="K1013" s="3" t="inlineStr">
        <is>
          <t>nan</t>
        </is>
      </c>
      <c r="L1013" s="6">
        <f>HYPERLINK("https://fin.land.naver.com/articles/2655010750", "매물Link")</f>
        <v/>
      </c>
      <c r="M1013" s="6">
        <f>HYPERLINK("https://map.naver.com/p/search/다정동 774", "지도Link")</f>
        <v/>
      </c>
      <c r="N1013" s="6">
        <f>HYPERLINK("http://www.eum.go.kr/web/ar/lu/luLandDet.jsp?pnu=3611010900107740000&amp;isNoScr=script&amp;mode=search",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291.7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777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43000</v>
      </c>
      <c r="G1014" s="4" t="n">
        <v>297</v>
      </c>
      <c r="H1014" s="4" t="n">
        <v>90</v>
      </c>
      <c r="I1014" s="5" t="n">
        <v>477.8</v>
      </c>
      <c r="J1014" s="5" t="n">
        <v>304.6</v>
      </c>
      <c r="K1014" s="3" t="inlineStr">
        <is>
          <t>급매 다정동 아파트 단지 인프라와 근린공원 조망 단독주택 부지 매매</t>
        </is>
      </c>
      <c r="L1014" s="6">
        <f>HYPERLINK("https://fin.land.naver.com/articles/2654809804", "매물Link")</f>
        <v/>
      </c>
      <c r="M1014" s="6">
        <f>HYPERLINK("https://map.naver.com/p/search/다정동 777", "지도Link")</f>
        <v/>
      </c>
      <c r="N1014" s="6">
        <f>HYPERLINK("http://www.eum.go.kr/web/ar/lu/luLandDet.jsp?pnu=3611010900107770000&amp;isNoScr=script&amp;mode=search", "토지이음")</f>
        <v/>
      </c>
      <c r="O1014" s="3" t="inlineStr">
        <is>
          <t>이지</t>
        </is>
      </c>
      <c r="P1014" s="4" t="n">
        <v>1</v>
      </c>
      <c r="Q1014" s="4" t="n">
        <v>297.3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50000</v>
      </c>
      <c r="G1015" s="4" t="n">
        <v>297</v>
      </c>
      <c r="H1015" s="4" t="n">
        <v>90</v>
      </c>
      <c r="I1015" s="5" t="n">
        <v>555.6</v>
      </c>
      <c r="J1015" s="5" t="n">
        <v>304.6</v>
      </c>
      <c r="K1015" s="3" t="inlineStr">
        <is>
          <t>I 신한 I  급매  Iㅑ채광 좋은 남향 단독주택용지</t>
        </is>
      </c>
      <c r="L1015" s="6">
        <f>HYPERLINK("https://fin.land.naver.com/articles/2650851726", "매물Link")</f>
        <v/>
      </c>
      <c r="M1015" s="6">
        <f>HYPERLINK("https://map.naver.com/p/search/다정동 779", "지도Link")</f>
        <v/>
      </c>
      <c r="N1015" s="6">
        <f>HYPERLINK("http://www.eum.go.kr/web/ar/lu/luLandDet.jsp?pnu=3611010900107790000&amp;isNoScr=script&amp;mode=search", "토지이음")</f>
        <v/>
      </c>
      <c r="O1015" s="3" t="inlineStr">
        <is>
          <t>세종신한</t>
        </is>
      </c>
      <c r="P1015" s="4" t="n">
        <v>1</v>
      </c>
      <c r="Q1015" s="4" t="n">
        <v>297.3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다정동 781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42000</v>
      </c>
      <c r="G1016" s="4" t="n">
        <v>254</v>
      </c>
      <c r="H1016" s="4" t="n">
        <v>77</v>
      </c>
      <c r="I1016" s="5" t="n">
        <v>545.5</v>
      </c>
      <c r="J1016" s="5" t="n">
        <v>313.8</v>
      </c>
      <c r="K1016" s="3" t="inlineStr">
        <is>
          <t>급매 코너각지 정남향 최저가 조율협의가능</t>
        </is>
      </c>
      <c r="L1016" s="6">
        <f>HYPERLINK("https://fin.land.naver.com/articles/2652943070", "매물Link")</f>
        <v/>
      </c>
      <c r="M1016" s="6">
        <f>HYPERLINK("https://map.naver.com/p/search/다정동 781", "지도Link")</f>
        <v/>
      </c>
      <c r="N1016" s="6">
        <f>HYPERLINK("http://www.eum.go.kr/web/ar/lu/luLandDet.jsp?pnu=3611010900107810000&amp;isNoScr=script&amp;mode=search",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254.3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소로각지</t>
        </is>
      </c>
    </row>
    <row r="1017">
      <c r="A1017" s="3" t="inlineStr">
        <is>
          <t>다정동 781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45000</v>
      </c>
      <c r="G1017" s="4" t="n">
        <v>254</v>
      </c>
      <c r="H1017" s="4" t="n">
        <v>77</v>
      </c>
      <c r="I1017" s="5" t="n">
        <v>584.4</v>
      </c>
      <c r="J1017" s="5" t="n">
        <v>313.8</v>
      </c>
      <c r="K1017" s="3" t="inlineStr">
        <is>
          <t>nan</t>
        </is>
      </c>
      <c r="L1017" s="6">
        <f>HYPERLINK("https://fin.land.naver.com/articles/2655010813", "매물Link")</f>
        <v/>
      </c>
      <c r="M1017" s="6">
        <f>HYPERLINK("https://map.naver.com/p/search/다정동 781", "지도Link")</f>
        <v/>
      </c>
      <c r="N1017" s="6">
        <f>HYPERLINK("http://www.eum.go.kr/web/ar/lu/luLandDet.jsp?pnu=3611010900107810000&amp;isNoScr=script&amp;mode=search", "토지이음")</f>
        <v/>
      </c>
      <c r="O1017" s="3" t="inlineStr">
        <is>
          <t>디아트성심</t>
        </is>
      </c>
      <c r="P1017" s="4" t="n">
        <v>1</v>
      </c>
      <c r="Q1017" s="4" t="n">
        <v>254.3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소로각지</t>
        </is>
      </c>
    </row>
    <row r="1018">
      <c r="A1018" s="3" t="inlineStr">
        <is>
          <t>다정동 783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50000</v>
      </c>
      <c r="G1018" s="4" t="n">
        <v>297</v>
      </c>
      <c r="H1018" s="4" t="n">
        <v>90</v>
      </c>
      <c r="I1018" s="5" t="n">
        <v>555.6</v>
      </c>
      <c r="J1018" s="5" t="n">
        <v>304.6</v>
      </c>
      <c r="K1018" s="3" t="inlineStr">
        <is>
          <t>조율가능 정남향 토지모양최상</t>
        </is>
      </c>
      <c r="L1018" s="6">
        <f>HYPERLINK("https://fin.land.naver.com/articles/2656122876", "매물Link")</f>
        <v/>
      </c>
      <c r="M1018" s="6">
        <f>HYPERLINK("https://map.naver.com/p/search/다정동 783", "지도Link")</f>
        <v/>
      </c>
      <c r="N1018" s="6">
        <f>HYPERLINK("http://www.eum.go.kr/web/ar/lu/luLandDet.jsp?pnu=3611010900107830000&amp;isNoScr=script&amp;mode=search",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297.3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793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75000</v>
      </c>
      <c r="G1019" s="4" t="n">
        <v>315</v>
      </c>
      <c r="H1019" s="4" t="n">
        <v>95</v>
      </c>
      <c r="I1019" s="5" t="n">
        <v>789.5</v>
      </c>
      <c r="J1019" s="5" t="n">
        <v>313.8</v>
      </c>
      <c r="K1019" s="3" t="inlineStr">
        <is>
          <t>코너각지,선호하는 위치 모양좋은 대지,가격조율가능</t>
        </is>
      </c>
      <c r="L1019" s="6">
        <f>HYPERLINK("https://fin.land.naver.com/articles/2652735525", "매물Link")</f>
        <v/>
      </c>
      <c r="M1019" s="6">
        <f>HYPERLINK("https://map.naver.com/p/search/다정동 793", "지도Link")</f>
        <v/>
      </c>
      <c r="N1019" s="6">
        <f>HYPERLINK("http://www.eum.go.kr/web/ar/lu/luLandDet.jsp?pnu=3611010900107930000&amp;isNoScr=script&amp;mode=search", "토지이음")</f>
        <v/>
      </c>
      <c r="O1019" s="3" t="inlineStr">
        <is>
          <t>다정동첫번째</t>
        </is>
      </c>
      <c r="P1019" s="4" t="n">
        <v>1</v>
      </c>
      <c r="Q1019" s="4" t="n">
        <v>315.9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48000</v>
      </c>
      <c r="G1020" s="4" t="n">
        <v>254</v>
      </c>
      <c r="H1020" s="4" t="n">
        <v>77</v>
      </c>
      <c r="I1020" s="5" t="n">
        <v>623.4</v>
      </c>
      <c r="J1020" s="5" t="n">
        <v>337.9</v>
      </c>
      <c r="K1020" s="3" t="inlineStr">
        <is>
          <t>코너각지 공공인도접함 선호하는위치</t>
        </is>
      </c>
      <c r="L1020" s="6">
        <f>HYPERLINK("https://fin.land.naver.com/articles/2654633192", "매물Link")</f>
        <v/>
      </c>
      <c r="M1020" s="6">
        <f>HYPERLINK("https://map.naver.com/p/search/다정동 794", "지도Link")</f>
        <v/>
      </c>
      <c r="N1020" s="6">
        <f>HYPERLINK("http://www.eum.go.kr/web/ar/lu/luLandDet.jsp?pnu=3611010900107940000&amp;isNoScr=script&amp;mode=search",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254.9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중로각지</t>
        </is>
      </c>
    </row>
    <row r="1021">
      <c r="A1021" s="3" t="inlineStr">
        <is>
          <t>다정동 810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59500</v>
      </c>
      <c r="G1021" s="4" t="n">
        <v>314</v>
      </c>
      <c r="H1021" s="4" t="n">
        <v>95</v>
      </c>
      <c r="I1021" s="5" t="n">
        <v>626.3</v>
      </c>
      <c r="J1021" s="5" t="n">
        <v>298.2</v>
      </c>
      <c r="K1021" s="3" t="inlineStr">
        <is>
          <t>추가조율가능 남향택지 상권접근성 용이한 위치</t>
        </is>
      </c>
      <c r="L1021" s="6">
        <f>HYPERLINK("https://fin.land.naver.com/articles/2656123012", "매물Link")</f>
        <v/>
      </c>
      <c r="M1021" s="6">
        <f>HYPERLINK("https://map.naver.com/p/search/다정동 810", "지도Link")</f>
        <v/>
      </c>
      <c r="N1021" s="6">
        <f>HYPERLINK("http://www.eum.go.kr/web/ar/lu/luLandDet.jsp?pnu=3611010900108100000&amp;isNoScr=script&amp;mode=search",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314.8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95.5p, 유치원 맞은편, 가운데 토지</t>
        </is>
      </c>
      <c r="L1024" s="6">
        <f>HYPERLINK("https://fin.land.naver.com/articles/2654717356",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64000</v>
      </c>
      <c r="G1025" s="4" t="n">
        <v>315</v>
      </c>
      <c r="H1025" s="4" t="n">
        <v>95</v>
      </c>
      <c r="I1025" s="5" t="n">
        <v>673.7</v>
      </c>
      <c r="J1025" s="5" t="n">
        <v>341.2</v>
      </c>
      <c r="K1025" s="3" t="inlineStr">
        <is>
          <t>다정동 인기있는 단독주택, 명당터, 공원과 유치원 근처, 힐링</t>
        </is>
      </c>
      <c r="L1025" s="6">
        <f>HYPERLINK("https://fin.land.naver.com/articles/2654623538",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풍경채대지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73000</v>
      </c>
      <c r="G1026" s="4" t="n">
        <v>315</v>
      </c>
      <c r="H1026" s="4" t="n">
        <v>95</v>
      </c>
      <c r="I1026" s="5" t="n">
        <v>768.4</v>
      </c>
      <c r="J1026" s="5" t="n">
        <v>341.2</v>
      </c>
      <c r="K1026" s="3" t="inlineStr">
        <is>
          <t>nan</t>
        </is>
      </c>
      <c r="L1026" s="6">
        <f>HYPERLINK("https://fin.land.naver.com/articles/2655007233",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디아트성심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총 95.5p, 조율가능, 다정동 단독주택지</t>
        </is>
      </c>
      <c r="L1027" s="6">
        <f>HYPERLINK("https://fin.land.naver.com/articles/2654703670",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49000</v>
      </c>
      <c r="G1029" s="4" t="n">
        <v>315</v>
      </c>
      <c r="H1029" s="4" t="n">
        <v>95</v>
      </c>
      <c r="I1029" s="5" t="n">
        <v>515.8</v>
      </c>
      <c r="J1029" s="5" t="n">
        <v>318.9</v>
      </c>
      <c r="K1029" s="3" t="inlineStr">
        <is>
          <t>급매 조율가능 조용한 선호하는 안쪽위치</t>
        </is>
      </c>
      <c r="L1029" s="6">
        <f>HYPERLINK("https://fin.land.naver.com/articles/2652419011",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새솔유치원인근, 가운데 토지</t>
        </is>
      </c>
      <c r="L1030" s="6">
        <f>HYPERLINK("https://fin.land.naver.com/articles/2654896232",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64000</v>
      </c>
      <c r="G1031" s="4" t="n">
        <v>315</v>
      </c>
      <c r="H1031" s="4" t="n">
        <v>95</v>
      </c>
      <c r="I1031" s="5" t="n">
        <v>673.7</v>
      </c>
      <c r="J1031" s="5" t="n">
        <v>318.9</v>
      </c>
      <c r="K1031" s="3" t="inlineStr">
        <is>
          <t>총 95.5p, 유치원 인근 다정동 토지매매</t>
        </is>
      </c>
      <c r="L1031" s="6">
        <f>HYPERLINK("https://fin.land.naver.com/articles/2655487391",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41000</v>
      </c>
      <c r="G1033" s="4" t="n">
        <v>374</v>
      </c>
      <c r="H1033" s="4" t="n">
        <v>113</v>
      </c>
      <c r="I1033" s="5" t="n">
        <v>362.8</v>
      </c>
      <c r="J1033" s="5" t="n">
        <v>353.7</v>
      </c>
      <c r="K1033" s="3" t="inlineStr">
        <is>
          <t>급매 다정동 전원주택토지임.</t>
        </is>
      </c>
      <c r="L1033" s="6">
        <f>HYPERLINK("https://fin.land.naver.com/articles/2653163964",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태흥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세종 다정동 단독주택 부지로 주목할 대지 매매</t>
        </is>
      </c>
      <c r="L1034" s="6">
        <f>HYPERLINK("https://fin.land.naver.com/articles/2654266239",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총 113.3p, 조율가능, 주유소인근, 다정동 단독주택지</t>
        </is>
      </c>
      <c r="L1035" s="6">
        <f>HYPERLINK("https://fin.land.naver.com/articles/2653561661",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다정동 전면 야생화 만발한  언덕,  급매매 단독주택지</t>
        </is>
      </c>
      <c r="L1037" s="6">
        <f>HYPERLINK("https://fin.land.naver.com/articles/2656330538",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킹세종</t>
        </is>
      </c>
      <c r="P1037" s="4" t="n">
        <v>1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다정동 코너 위치한 근생 토지매매, 조율가능, 입지 최고</t>
        </is>
      </c>
      <c r="L1039" s="6">
        <f>HYPERLINK("https://fin.land.naver.com/articles/2655487347",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세종무지개</t>
        </is>
      </c>
      <c r="P1039" s="4" t="n">
        <v>1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3면코너각지 지하건축가능 귀한큰필지 큰생부지</t>
        </is>
      </c>
      <c r="L1040" s="6">
        <f>HYPERLINK("https://fin.land.naver.com/articles/2656214425",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세종스타</t>
        </is>
      </c>
      <c r="P1040" s="4" t="n">
        <v>4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총 194.2p, 코너자리, 다정동 위치좋은 근생토지</t>
        </is>
      </c>
      <c r="L1041" s="6">
        <f>HYPERLINK("https://fin.land.naver.com/articles/2653057250",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근생용지,코너각지땅으로 대단지 아파트초인근임</t>
        </is>
      </c>
      <c r="L1043" s="6">
        <f>HYPERLINK("https://fin.land.naver.com/articles/2655663910",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세종대명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코너 입지한 근린생활용지 토지 매매, 위치 좋음</t>
        </is>
      </c>
      <c r="L1044" s="6">
        <f>HYPERLINK("https://fin.land.naver.com/articles/2650893996",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대평동 696</t>
        </is>
      </c>
      <c r="B1045" s="3" t="inlineStr">
        <is>
          <t>일반상업지역</t>
        </is>
      </c>
      <c r="C1045" s="3" t="inlineStr">
        <is>
          <t>주차장</t>
        </is>
      </c>
      <c r="D1045" s="3" t="inlineStr">
        <is>
          <t>주차장</t>
        </is>
      </c>
      <c r="E1045" s="3" t="inlineStr">
        <is>
          <t>매매</t>
        </is>
      </c>
      <c r="F1045" s="4" t="n">
        <v>500000</v>
      </c>
      <c r="G1045" s="4" t="n">
        <v>1757</v>
      </c>
      <c r="H1045" s="4" t="n">
        <v>531</v>
      </c>
      <c r="I1045" s="5" t="n">
        <v>941.6</v>
      </c>
      <c r="J1045" s="5" t="n">
        <v>896.9</v>
      </c>
      <c r="K1045" s="3" t="inlineStr">
        <is>
          <t>주차장 부지</t>
        </is>
      </c>
      <c r="L1045" s="6">
        <f>HYPERLINK("https://fin.land.naver.com/articles/2653284381", "매물Link")</f>
        <v/>
      </c>
      <c r="M1045" s="6">
        <f>HYPERLINK("https://map.naver.com/p/search/대평동 696", "지도Link")</f>
        <v/>
      </c>
      <c r="N1045" s="6">
        <f>HYPERLINK("http://www.eum.go.kr/web/ar/lu/luLandDet.jsp?pnu=3611010400106960000&amp;isNoScr=script&amp;mode=search", "토지이음")</f>
        <v/>
      </c>
      <c r="O1045" s="3" t="inlineStr">
        <is>
          <t>프로</t>
        </is>
      </c>
      <c r="P1045" s="4" t="n">
        <v>1</v>
      </c>
      <c r="Q1045" s="4" t="n">
        <v>1757.8</v>
      </c>
      <c r="R1045" s="3" t="inlineStr">
        <is>
          <t>지정되지않음</t>
        </is>
      </c>
      <c r="S1045" s="3" t="inlineStr">
        <is>
          <t>주차장등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광대소각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100p, 도담동 말발굽토지, 왼쪽 사거리 코너자리</t>
        </is>
      </c>
      <c r="L1046" s="6">
        <f>HYPERLINK("https://fin.land.naver.com/articles/2653566973",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조율가능 남향 코너각지 천조망가능 최상입지</t>
        </is>
      </c>
      <c r="L1047" s="6">
        <f>HYPERLINK("https://fin.land.naver.com/articles/2655021747",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330</v>
      </c>
      <c r="H1048" s="4" t="n">
        <v>100</v>
      </c>
      <c r="I1048" s="5" t="n">
        <v>1000</v>
      </c>
      <c r="J1048" s="5" t="n">
        <v>362</v>
      </c>
      <c r="K1048" s="3" t="inlineStr">
        <is>
          <t>총 100p, 주민휴게광장옆, 위치좋은 토지</t>
        </is>
      </c>
      <c r="L1048" s="6">
        <f>HYPERLINK("https://fin.land.naver.com/articles/2654920683", "매물Link")</f>
        <v/>
      </c>
      <c r="M1048" s="6">
        <f>HYPERLINK("https://map.naver.com/p/search/도담동 410", "지도Link")</f>
        <v/>
      </c>
      <c r="N1048" s="6">
        <f>HYPERLINK("http://www.eum.go.kr/web/ar/lu/luLandDet.jsp?pnu=3611011400104100000&amp;isNoScr=script&amp;mode=search",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330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말발굽 정남향 귀한 토지, 조율가능</t>
        </is>
      </c>
      <c r="L1049" s="6">
        <f>HYPERLINK("https://fin.land.naver.com/articles/2651903895",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99.1p, 도담동 말발굽 토지, 공원 보행로 접해 있음</t>
        </is>
      </c>
      <c r="L1050" s="6">
        <f>HYPERLINK("https://fin.land.naver.com/articles/2653565954",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419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327</v>
      </c>
      <c r="H1051" s="4" t="n">
        <v>99</v>
      </c>
      <c r="I1051" s="5" t="n">
        <v>1010.1</v>
      </c>
      <c r="J1051" s="5" t="n">
        <v>358.3</v>
      </c>
      <c r="K1051" s="3" t="inlineStr">
        <is>
          <t>nan</t>
        </is>
      </c>
      <c r="L1051" s="6">
        <f>HYPERLINK("https://fin.land.naver.com/articles/2652567664", "매물Link")</f>
        <v/>
      </c>
      <c r="M1051" s="6">
        <f>HYPERLINK("https://map.naver.com/p/search/도담동 419", "지도Link")</f>
        <v/>
      </c>
      <c r="N1051" s="6">
        <f>HYPERLINK("http://www.eum.go.kr/web/ar/lu/luLandDet.jsp?pnu=3611011400104190000&amp;isNoScr=script&amp;mode=search", "토지이음")</f>
        <v/>
      </c>
      <c r="O1051" s="3" t="inlineStr">
        <is>
          <t>진달래</t>
        </is>
      </c>
      <c r="P1051" s="4" t="n">
        <v>1</v>
      </c>
      <c r="Q1051" s="4" t="n">
        <v>327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421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100000</v>
      </c>
      <c r="G1052" s="4" t="n">
        <v>303</v>
      </c>
      <c r="H1052" s="4" t="n">
        <v>92</v>
      </c>
      <c r="I1052" s="5" t="n">
        <v>1087</v>
      </c>
      <c r="J1052" s="5" t="n">
        <v>358.3</v>
      </c>
      <c r="K1052" s="3" t="inlineStr">
        <is>
          <t>남향땅, 뒷 야산 야생화,도보천길접근 용이</t>
        </is>
      </c>
      <c r="L1052" s="6">
        <f>HYPERLINK("https://fin.land.naver.com/articles/2656304345", "매물Link")</f>
        <v/>
      </c>
      <c r="M1052" s="6">
        <f>HYPERLINK("https://map.naver.com/p/search/도담동 421", "지도Link")</f>
        <v/>
      </c>
      <c r="N1052" s="6">
        <f>HYPERLINK("http://www.eum.go.kr/web/ar/lu/luLandDet.jsp?pnu=3611011400104210000&amp;isNoScr=script&amp;mode=search", "토지이음")</f>
        <v/>
      </c>
      <c r="O1052" s="3" t="inlineStr">
        <is>
          <t>킹세종</t>
        </is>
      </c>
      <c r="P1052" s="4" t="n">
        <v>1</v>
      </c>
      <c r="Q1052" s="4" t="n">
        <v>303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424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115000</v>
      </c>
      <c r="G1053" s="4" t="n">
        <v>305</v>
      </c>
      <c r="H1053" s="4" t="n">
        <v>92</v>
      </c>
      <c r="I1053" s="5" t="n">
        <v>1250</v>
      </c>
      <c r="J1053" s="5" t="n">
        <v>358.3</v>
      </c>
      <c r="K1053" s="3" t="inlineStr">
        <is>
          <t>조율가능 공원접함 최선호 반원호내 단독주택지</t>
        </is>
      </c>
      <c r="L1053" s="6">
        <f>HYPERLINK("https://fin.land.naver.com/articles/2652136867", "매물Link")</f>
        <v/>
      </c>
      <c r="M1053" s="6">
        <f>HYPERLINK("https://map.naver.com/p/search/도담동 424", "지도Link")</f>
        <v/>
      </c>
      <c r="N1053" s="6">
        <f>HYPERLINK("http://www.eum.go.kr/web/ar/lu/luLandDet.jsp?pnu=3611011400104240000&amp;isNoScr=script&amp;mode=search",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305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304</v>
      </c>
      <c r="H1054" s="4" t="n">
        <v>92</v>
      </c>
      <c r="I1054" s="5" t="n">
        <v>1195.7</v>
      </c>
      <c r="J1054" s="5" t="n">
        <v>358.3</v>
      </c>
      <c r="K1054" s="3" t="inlineStr">
        <is>
          <t>조율가능 도담동 말발굽내 반달모양 최선호위치</t>
        </is>
      </c>
      <c r="L1054" s="6">
        <f>HYPERLINK("https://fin.land.naver.com/articles/2656123757",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세종스타</t>
        </is>
      </c>
      <c r="P1054" s="4" t="n">
        <v>3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425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110000</v>
      </c>
      <c r="G1055" s="4" t="n">
        <v>303</v>
      </c>
      <c r="H1055" s="4" t="n">
        <v>92</v>
      </c>
      <c r="I1055" s="5" t="n">
        <v>1195.7</v>
      </c>
      <c r="J1055" s="5" t="n">
        <v>358.3</v>
      </c>
      <c r="K1055" s="3" t="inlineStr">
        <is>
          <t>도담동 말발굽토지 매매, 공원 인근, 선호도 높은 토지</t>
        </is>
      </c>
      <c r="L1055" s="6">
        <f>HYPERLINK("https://fin.land.naver.com/articles/2656270322", "매물Link")</f>
        <v/>
      </c>
      <c r="M1055" s="6">
        <f>HYPERLINK("https://map.naver.com/p/search/도담동 425", "지도Link")</f>
        <v/>
      </c>
      <c r="N1055" s="6">
        <f>HYPERLINK("http://www.eum.go.kr/web/ar/lu/luLandDet.jsp?pnu=3611011400104250000&amp;isNoScr=script&amp;mode=search",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304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425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110000</v>
      </c>
      <c r="G1056" s="4" t="n">
        <v>304</v>
      </c>
      <c r="H1056" s="4" t="n">
        <v>92</v>
      </c>
      <c r="I1056" s="5" t="n">
        <v>1195.7</v>
      </c>
      <c r="J1056" s="5" t="n">
        <v>358.3</v>
      </c>
      <c r="K1056" s="3" t="inlineStr">
        <is>
          <t>총 92.1p, 말발굽 최고입지, 넓은 공원 인근</t>
        </is>
      </c>
      <c r="L1056" s="6">
        <f>HYPERLINK("https://fin.land.naver.com/articles/2653682295", "매물Link")</f>
        <v/>
      </c>
      <c r="M1056" s="6">
        <f>HYPERLINK("https://map.naver.com/p/search/도담동 425", "지도Link")</f>
        <v/>
      </c>
      <c r="N1056" s="6">
        <f>HYPERLINK("http://www.eum.go.kr/web/ar/lu/luLandDet.jsp?pnu=3611011400104250000&amp;isNoScr=script&amp;mode=search",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304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335</v>
      </c>
      <c r="H1057" s="4" t="n">
        <v>101</v>
      </c>
      <c r="I1057" s="5" t="n">
        <v>920.8</v>
      </c>
      <c r="J1057" s="5" t="n">
        <v>358.3</v>
      </c>
      <c r="K1057" s="3" t="inlineStr">
        <is>
          <t>조율가능한 말발굽 위치 좋은 토지 매매, 코너각지</t>
        </is>
      </c>
      <c r="L1057" s="6">
        <f>HYPERLINK("https://fin.land.naver.com/articles/2656267764",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455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93000</v>
      </c>
      <c r="G1058" s="4" t="n">
        <v>337</v>
      </c>
      <c r="H1058" s="4" t="n">
        <v>102</v>
      </c>
      <c r="I1058" s="5" t="n">
        <v>911.8</v>
      </c>
      <c r="J1058" s="5" t="n">
        <v>358.3</v>
      </c>
      <c r="K1058" s="3" t="inlineStr">
        <is>
          <t>조율가능 반원호내 좋은위치</t>
        </is>
      </c>
      <c r="L1058" s="6">
        <f>HYPERLINK("https://fin.land.naver.com/articles/2654855310", "매물Link")</f>
        <v/>
      </c>
      <c r="M1058" s="6">
        <f>HYPERLINK("https://map.naver.com/p/search/도담동 455", "지도Link")</f>
        <v/>
      </c>
      <c r="N1058" s="6">
        <f>HYPERLINK("http://www.eum.go.kr/web/ar/lu/luLandDet.jsp?pnu=3611011400104550000&amp;isNoScr=script&amp;mode=search", "토지이음")</f>
        <v/>
      </c>
      <c r="O1058" s="3" t="inlineStr">
        <is>
          <t>세종스타</t>
        </is>
      </c>
      <c r="P1058" s="4" t="n">
        <v>1</v>
      </c>
      <c r="Q1058" s="4" t="n">
        <v>337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도담동 455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93000</v>
      </c>
      <c r="G1059" s="4" t="n">
        <v>337</v>
      </c>
      <c r="H1059" s="4" t="n">
        <v>102</v>
      </c>
      <c r="I1059" s="5" t="n">
        <v>911.8</v>
      </c>
      <c r="J1059" s="5" t="n">
        <v>358.3</v>
      </c>
      <c r="K1059" s="3" t="inlineStr">
        <is>
          <t>102.1p, 코너자리, 말발굽 좋은위치, 조율가능</t>
        </is>
      </c>
      <c r="L1059" s="6">
        <f>HYPERLINK("https://fin.land.naver.com/articles/2654928079", "매물Link")</f>
        <v/>
      </c>
      <c r="M1059" s="6">
        <f>HYPERLINK("https://map.naver.com/p/search/도담동 455", "지도Link")</f>
        <v/>
      </c>
      <c r="N1059" s="6">
        <f>HYPERLINK("http://www.eum.go.kr/web/ar/lu/luLandDet.jsp?pnu=3611011400104550000&amp;isNoScr=script&amp;mode=search", "토지이음")</f>
        <v/>
      </c>
      <c r="O1059" s="3" t="inlineStr">
        <is>
          <t>명진</t>
        </is>
      </c>
      <c r="P1059" s="4" t="n">
        <v>1</v>
      </c>
      <c r="Q1059" s="4" t="n">
        <v>337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도담동 496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75000</v>
      </c>
      <c r="G1060" s="4" t="n">
        <v>319</v>
      </c>
      <c r="H1060" s="4" t="n">
        <v>96</v>
      </c>
      <c r="I1060" s="5" t="n">
        <v>781.2</v>
      </c>
      <c r="J1060" s="5" t="n">
        <v>366.9</v>
      </c>
      <c r="K1060" s="3" t="inlineStr">
        <is>
          <t>급매 양지초인근 땅모양좋음 공원용지 접함</t>
        </is>
      </c>
      <c r="L1060" s="6">
        <f>HYPERLINK("https://fin.land.naver.com/articles/2655236450", "매물Link")</f>
        <v/>
      </c>
      <c r="M1060" s="6">
        <f>HYPERLINK("https://map.naver.com/p/search/도담동 496", "지도Link")</f>
        <v/>
      </c>
      <c r="N1060" s="6">
        <f>HYPERLINK("http://www.eum.go.kr/web/ar/lu/luLandDet.jsp?pnu=3611011400104960000&amp;isNoScr=script&amp;mode=search",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319.9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496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75000</v>
      </c>
      <c r="G1061" s="4" t="n">
        <v>319</v>
      </c>
      <c r="H1061" s="4" t="n">
        <v>96</v>
      </c>
      <c r="I1061" s="5" t="n">
        <v>781.2</v>
      </c>
      <c r="J1061" s="5" t="n">
        <v>366.9</v>
      </c>
      <c r="K1061" s="3" t="inlineStr">
        <is>
          <t>96.9p, 유.초등학교 인근, 삼거리 입지 좋은 토지</t>
        </is>
      </c>
      <c r="L1061" s="6">
        <f>HYPERLINK("https://fin.land.naver.com/articles/2654695944", "매물Link")</f>
        <v/>
      </c>
      <c r="M1061" s="6">
        <f>HYPERLINK("https://map.naver.com/p/search/도담동 496", "지도Link")</f>
        <v/>
      </c>
      <c r="N1061" s="6">
        <f>HYPERLINK("http://www.eum.go.kr/web/ar/lu/luLandDet.jsp?pnu=3611011400104960000&amp;isNoScr=script&amp;mode=search",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319.9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99.9p, 도담동 말발굽택지 중 급매</t>
        </is>
      </c>
      <c r="L1062" s="6">
        <f>HYPERLINK("https://fin.land.naver.com/articles/2654923757",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546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80000</v>
      </c>
      <c r="G1063" s="4" t="n">
        <v>330</v>
      </c>
      <c r="H1063" s="4" t="n">
        <v>100</v>
      </c>
      <c r="I1063" s="5" t="n">
        <v>800</v>
      </c>
      <c r="J1063" s="5" t="n">
        <v>366.9</v>
      </c>
      <c r="K1063" s="3" t="inlineStr">
        <is>
          <t>양지초 양지유치원 정문 건너편 최선호 위치 주변시세보다 저렴 추천매물</t>
        </is>
      </c>
      <c r="L1063" s="6">
        <f>HYPERLINK("https://fin.land.naver.com/articles/2656123728", "매물Link")</f>
        <v/>
      </c>
      <c r="M1063" s="6">
        <f>HYPERLINK("https://map.naver.com/p/search/도담동 546", "지도Link")</f>
        <v/>
      </c>
      <c r="N1063" s="6">
        <f>HYPERLINK("http://www.eum.go.kr/web/ar/lu/luLandDet.jsp?pnu=3611011400105460000&amp;isNoScr=script&amp;mode=search",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329.8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도담동 546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4" t="n">
        <v>100</v>
      </c>
      <c r="I1064" s="5" t="n">
        <v>800</v>
      </c>
      <c r="J1064" s="5" t="n">
        <v>366.9</v>
      </c>
      <c r="K1064" s="3" t="inlineStr">
        <is>
          <t>도담동 택지. 초등학교,충남대병원 가까운거리 위치</t>
        </is>
      </c>
      <c r="L1064" s="6">
        <f>HYPERLINK("https://fin.land.naver.com/articles/2650945757", "매물Link")</f>
        <v/>
      </c>
      <c r="M1064" s="6">
        <f>HYPERLINK("https://map.naver.com/p/search/도담동 546", "지도Link")</f>
        <v/>
      </c>
      <c r="N1064" s="6">
        <f>HYPERLINK("http://www.eum.go.kr/web/ar/lu/luLandDet.jsp?pnu=3611011400105460000&amp;isNoScr=script&amp;mode=search",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329.8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도담동 546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329</v>
      </c>
      <c r="H1065" s="4" t="n">
        <v>100</v>
      </c>
      <c r="I1065" s="5" t="n">
        <v>800</v>
      </c>
      <c r="J1065" s="5" t="n">
        <v>366.9</v>
      </c>
      <c r="K1065" s="3" t="inlineStr">
        <is>
          <t>99.9p, 유.초등학교 인근, 사거리 코너자리</t>
        </is>
      </c>
      <c r="L1065" s="6">
        <f>HYPERLINK("https://fin.land.naver.com/articles/2654709547", "매물Link")</f>
        <v/>
      </c>
      <c r="M1065" s="6">
        <f>HYPERLINK("https://map.naver.com/p/search/도담동 546", "지도Link")</f>
        <v/>
      </c>
      <c r="N1065" s="6">
        <f>HYPERLINK("http://www.eum.go.kr/web/ar/lu/luLandDet.jsp?pnu=3611011400105460000&amp;isNoScr=script&amp;mode=search",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329.8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도담동 561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85000</v>
      </c>
      <c r="G1066" s="4" t="n">
        <v>382</v>
      </c>
      <c r="H1066" s="4" t="n">
        <v>116</v>
      </c>
      <c r="I1066" s="5" t="n">
        <v>732.8</v>
      </c>
      <c r="J1066" s="5" t="n">
        <v>363</v>
      </c>
      <c r="K1066" s="3" t="inlineStr">
        <is>
          <t>말발굽토지 급매, 사거리 코너 최고 입지, 총 116p</t>
        </is>
      </c>
      <c r="L1066" s="6">
        <f>HYPERLINK("https://fin.land.naver.com/articles/2650892606", "매물Link")</f>
        <v/>
      </c>
      <c r="M1066" s="6">
        <f>HYPERLINK("https://map.naver.com/p/search/도담동 561", "지도Link")</f>
        <v/>
      </c>
      <c r="N1066" s="6">
        <f>HYPERLINK("http://www.eum.go.kr/web/ar/lu/luLandDet.jsp?pnu=3611011400105610000&amp;isNoScr=script&amp;mode=search",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382.9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561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85000</v>
      </c>
      <c r="G1067" s="4" t="n">
        <v>382</v>
      </c>
      <c r="H1067" s="4" t="n">
        <v>116</v>
      </c>
      <c r="I1067" s="5" t="n">
        <v>732.8</v>
      </c>
      <c r="J1067" s="5" t="n">
        <v>363</v>
      </c>
      <c r="K1067" s="3" t="inlineStr">
        <is>
          <t>급매, 총 116p, 대형토지, 도담동 말발굽토지, 조율가능</t>
        </is>
      </c>
      <c r="L1067" s="6">
        <f>HYPERLINK("https://fin.land.naver.com/articles/2651944411", "매물Link")</f>
        <v/>
      </c>
      <c r="M1067" s="6">
        <f>HYPERLINK("https://map.naver.com/p/search/도담동 561", "지도Link")</f>
        <v/>
      </c>
      <c r="N1067" s="6">
        <f>HYPERLINK("http://www.eum.go.kr/web/ar/lu/luLandDet.jsp?pnu=3611011400105610000&amp;isNoScr=script&amp;mode=search", "토지이음")</f>
        <v/>
      </c>
      <c r="O1067" s="3" t="inlineStr">
        <is>
          <t>명진</t>
        </is>
      </c>
      <c r="P1067" s="4" t="n">
        <v>1</v>
      </c>
      <c r="Q1067" s="4" t="n">
        <v>382.9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561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120000</v>
      </c>
      <c r="G1068" s="4" t="n">
        <v>382</v>
      </c>
      <c r="H1068" s="4" t="n">
        <v>116</v>
      </c>
      <c r="I1068" s="5" t="n">
        <v>1034.5</v>
      </c>
      <c r="J1068" s="5" t="n">
        <v>363</v>
      </c>
      <c r="K1068" s="3" t="inlineStr">
        <is>
          <t>nan</t>
        </is>
      </c>
      <c r="L1068" s="6">
        <f>HYPERLINK("https://fin.land.naver.com/articles/2653535457", "매물Link")</f>
        <v/>
      </c>
      <c r="M1068" s="6">
        <f>HYPERLINK("https://map.naver.com/p/search/도담동 561", "지도Link")</f>
        <v/>
      </c>
      <c r="N1068" s="6">
        <f>HYPERLINK("http://www.eum.go.kr/web/ar/lu/luLandDet.jsp?pnu=3611011400105610000&amp;isNoScr=script&amp;mode=search", "토지이음")</f>
        <v/>
      </c>
      <c r="O1068" s="3" t="inlineStr">
        <is>
          <t>세종산울랜드마크</t>
        </is>
      </c>
      <c r="P1068" s="4" t="n">
        <v>3</v>
      </c>
      <c r="Q1068" s="4" t="n">
        <v>382.9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562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110000</v>
      </c>
      <c r="G1069" s="4" t="n">
        <v>329</v>
      </c>
      <c r="H1069" s="4" t="n">
        <v>100</v>
      </c>
      <c r="I1069" s="5" t="n">
        <v>1100</v>
      </c>
      <c r="J1069" s="5" t="n">
        <v>366.9</v>
      </c>
      <c r="K1069" s="3" t="inlineStr">
        <is>
          <t>명성공인, 도담 말발굽자리 위치 좋은 명당 추천 매물</t>
        </is>
      </c>
      <c r="L1069" s="6">
        <f>HYPERLINK("https://fin.land.naver.com/articles/2654659001", "매물Link")</f>
        <v/>
      </c>
      <c r="M1069" s="6">
        <f>HYPERLINK("https://map.naver.com/p/search/도담동 562", "지도Link")</f>
        <v/>
      </c>
      <c r="N1069" s="6">
        <f>HYPERLINK("http://www.eum.go.kr/web/ar/lu/luLandDet.jsp?pnu=3611011400105620000&amp;isNoScr=script&amp;mode=search", "토지이음")</f>
        <v/>
      </c>
      <c r="O1069" s="3" t="inlineStr">
        <is>
          <t>명성</t>
        </is>
      </c>
      <c r="P1069" s="4" t="n">
        <v>1</v>
      </c>
      <c r="Q1069" s="4" t="n">
        <v>329.8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소로한면</t>
        </is>
      </c>
    </row>
    <row r="1070">
      <c r="A1070" s="3" t="inlineStr">
        <is>
          <t>도담동 580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263000</v>
      </c>
      <c r="G1070" s="4" t="n">
        <v>500</v>
      </c>
      <c r="H1070" s="4" t="n">
        <v>151</v>
      </c>
      <c r="I1070" s="5" t="n">
        <v>1741.7</v>
      </c>
      <c r="J1070" s="5" t="n">
        <v>735.9</v>
      </c>
      <c r="K1070" s="3" t="inlineStr">
        <is>
          <t>nan</t>
        </is>
      </c>
      <c r="L1070" s="6">
        <f>HYPERLINK("https://fin.land.naver.com/articles/2653506334", "매물Link")</f>
        <v/>
      </c>
      <c r="M1070" s="6">
        <f>HYPERLINK("https://map.naver.com/p/search/도담동 580", "지도Link")</f>
        <v/>
      </c>
      <c r="N1070" s="6">
        <f>HYPERLINK("http://www.eum.go.kr/web/ar/lu/luLandDet.jsp?pnu=3611011400105800000&amp;isNoScr=script&amp;mode=search", "토지이음")</f>
        <v/>
      </c>
      <c r="O1070" s="3" t="inlineStr">
        <is>
          <t>해밀세종신도시</t>
        </is>
      </c>
      <c r="P1070" s="4" t="n">
        <v>1</v>
      </c>
      <c r="Q1070" s="4" t="n">
        <v>500.6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도담동 580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320000</v>
      </c>
      <c r="G1071" s="4" t="n">
        <v>500</v>
      </c>
      <c r="H1071" s="4" t="n">
        <v>151</v>
      </c>
      <c r="I1071" s="5" t="n">
        <v>2119.2</v>
      </c>
      <c r="J1071" s="5" t="n">
        <v>735.9</v>
      </c>
      <c r="K1071" s="3" t="inlineStr">
        <is>
          <t>명성공인, 도담동 근생용지 추천 매물</t>
        </is>
      </c>
      <c r="L1071" s="6">
        <f>HYPERLINK("https://fin.land.naver.com/articles/2654061409", "매물Link")</f>
        <v/>
      </c>
      <c r="M1071" s="6">
        <f>HYPERLINK("https://map.naver.com/p/search/도담동 580", "지도Link")</f>
        <v/>
      </c>
      <c r="N1071" s="6">
        <f>HYPERLINK("http://www.eum.go.kr/web/ar/lu/luLandDet.jsp?pnu=3611011400105800000&amp;isNoScr=script&amp;mode=search", "토지이음")</f>
        <v/>
      </c>
      <c r="O1071" s="3" t="inlineStr">
        <is>
          <t>명성</t>
        </is>
      </c>
      <c r="P1071" s="4" t="n">
        <v>1</v>
      </c>
      <c r="Q1071" s="4" t="n">
        <v>500.6</v>
      </c>
      <c r="R1071" s="3" t="inlineStr">
        <is>
          <t>지정되지않음</t>
        </is>
      </c>
      <c r="S1071" s="3" t="inlineStr">
        <is>
          <t>상업용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580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263000</v>
      </c>
      <c r="G1072" s="4" t="n">
        <v>500</v>
      </c>
      <c r="H1072" s="4" t="n">
        <v>151</v>
      </c>
      <c r="I1072" s="5" t="n">
        <v>1741.7</v>
      </c>
      <c r="J1072" s="5" t="n">
        <v>735.9</v>
      </c>
      <c r="K1072" s="3" t="inlineStr">
        <is>
          <t>도담동 근린생활용지 토지매매, 사거리 코너입지</t>
        </is>
      </c>
      <c r="L1072" s="6">
        <f>HYPERLINK("https://fin.land.naver.com/articles/2655487689", "매물Link")</f>
        <v/>
      </c>
      <c r="M1072" s="6">
        <f>HYPERLINK("https://map.naver.com/p/search/도담동 580", "지도Link")</f>
        <v/>
      </c>
      <c r="N1072" s="6">
        <f>HYPERLINK("http://www.eum.go.kr/web/ar/lu/luLandDet.jsp?pnu=3611011400105800000&amp;isNoScr=script&amp;mode=search",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500.6</v>
      </c>
      <c r="R1072" s="3" t="inlineStr">
        <is>
          <t>지정되지않음</t>
        </is>
      </c>
      <c r="S1072" s="3" t="inlineStr">
        <is>
          <t>상업용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도담동 588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348</v>
      </c>
      <c r="H1073" s="4" t="n">
        <v>105</v>
      </c>
      <c r="I1073" s="5" t="n">
        <v>809.5</v>
      </c>
      <c r="J1073" s="5" t="n">
        <v>433.7</v>
      </c>
      <c r="K1073" s="3" t="inlineStr">
        <is>
          <t>도로에 접해 있으며, 위치좋은 단독주택자리, 충남대병원인근</t>
        </is>
      </c>
      <c r="L1073" s="6">
        <f>HYPERLINK("https://fin.land.naver.com/articles/2653269862", "매물Link")</f>
        <v/>
      </c>
      <c r="M1073" s="6">
        <f>HYPERLINK("https://map.naver.com/p/search/도담동 588", "지도Link")</f>
        <v/>
      </c>
      <c r="N1073" s="6">
        <f>HYPERLINK("http://www.eum.go.kr/web/ar/lu/luLandDet.jsp?pnu=3611011400105880000&amp;isNoScr=script&amp;mode=search", "토지이음")</f>
        <v/>
      </c>
      <c r="O1073" s="3" t="inlineStr">
        <is>
          <t>사이다</t>
        </is>
      </c>
      <c r="P1073" s="4" t="n">
        <v>1</v>
      </c>
      <c r="Q1073" s="4" t="n">
        <v>348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620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85000</v>
      </c>
      <c r="G1074" s="4" t="n">
        <v>326</v>
      </c>
      <c r="H1074" s="4" t="n">
        <v>99</v>
      </c>
      <c r="I1074" s="5" t="n">
        <v>858.6</v>
      </c>
      <c r="J1074" s="5" t="n">
        <v>453.2</v>
      </c>
      <c r="K1074" s="3" t="inlineStr">
        <is>
          <t>총 98.9p, 도담동 위치좋은 코너자리 토지</t>
        </is>
      </c>
      <c r="L1074" s="6">
        <f>HYPERLINK("https://fin.land.naver.com/articles/2654898842", "매물Link")</f>
        <v/>
      </c>
      <c r="M1074" s="6">
        <f>HYPERLINK("https://map.naver.com/p/search/도담동 620", "지도Link")</f>
        <v/>
      </c>
      <c r="N1074" s="6">
        <f>HYPERLINK("http://www.eum.go.kr/web/ar/lu/luLandDet.jsp?pnu=3611011400106200000&amp;isNoScr=script&amp;mode=search", "토지이음")</f>
        <v/>
      </c>
      <c r="O1074" s="3" t="inlineStr">
        <is>
          <t>명진</t>
        </is>
      </c>
      <c r="P1074" s="4" t="n">
        <v>1</v>
      </c>
      <c r="Q1074" s="4" t="n">
        <v>326.5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620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85000</v>
      </c>
      <c r="G1075" s="4" t="n">
        <v>326</v>
      </c>
      <c r="H1075" s="4" t="n">
        <v>99</v>
      </c>
      <c r="I1075" s="5" t="n">
        <v>858.6</v>
      </c>
      <c r="J1075" s="5" t="n">
        <v>453.2</v>
      </c>
      <c r="K1075" s="3" t="inlineStr">
        <is>
          <t>적극조율가능 충대병원인근 BRT도보가능</t>
        </is>
      </c>
      <c r="L1075" s="6">
        <f>HYPERLINK("https://fin.land.naver.com/articles/2654978749", "매물Link")</f>
        <v/>
      </c>
      <c r="M1075" s="6">
        <f>HYPERLINK("https://map.naver.com/p/search/도담동 620", "지도Link")</f>
        <v/>
      </c>
      <c r="N1075" s="6">
        <f>HYPERLINK("http://www.eum.go.kr/web/ar/lu/luLandDet.jsp?pnu=3611011400106200000&amp;isNoScr=script&amp;mode=search",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326.5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소로각지</t>
        </is>
      </c>
    </row>
    <row r="1076">
      <c r="A1076" s="3" t="inlineStr">
        <is>
          <t>도담동 620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85000</v>
      </c>
      <c r="G1076" s="4" t="n">
        <v>326</v>
      </c>
      <c r="H1076" s="4" t="n">
        <v>99</v>
      </c>
      <c r="I1076" s="5" t="n">
        <v>858.6</v>
      </c>
      <c r="J1076" s="5" t="n">
        <v>453.2</v>
      </c>
      <c r="K1076" s="3" t="inlineStr">
        <is>
          <t>총 98.9p, 도담동 아파트 단지 옆, 삼거리 코너</t>
        </is>
      </c>
      <c r="L1076" s="6">
        <f>HYPERLINK("https://fin.land.naver.com/articles/2652839523", "매물Link")</f>
        <v/>
      </c>
      <c r="M1076" s="6">
        <f>HYPERLINK("https://map.naver.com/p/search/도담동 620", "지도Link")</f>
        <v/>
      </c>
      <c r="N1076" s="6">
        <f>HYPERLINK("http://www.eum.go.kr/web/ar/lu/luLandDet.jsp?pnu=3611011400106200000&amp;isNoScr=script&amp;mode=search",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326.5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소로각지</t>
        </is>
      </c>
    </row>
    <row r="1077">
      <c r="A1077" s="3" t="inlineStr">
        <is>
          <t>도담동 693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319</v>
      </c>
      <c r="H1077" s="4" t="n">
        <v>96</v>
      </c>
      <c r="I1077" s="5" t="n">
        <v>937.5</v>
      </c>
      <c r="J1077" s="5" t="n">
        <v>382.1</v>
      </c>
      <c r="K1077" s="3" t="inlineStr">
        <is>
          <t>위치최상 정남향 늘봄초앞 남북트인곳</t>
        </is>
      </c>
      <c r="L1077" s="6">
        <f>HYPERLINK("https://fin.land.naver.com/articles/2653670273", "매물Link")</f>
        <v/>
      </c>
      <c r="M1077" s="6">
        <f>HYPERLINK("https://map.naver.com/p/search/도담동 693", "지도Link")</f>
        <v/>
      </c>
      <c r="N1077" s="6">
        <f>HYPERLINK("http://www.eum.go.kr/web/ar/lu/luLandDet.jsp?pnu=3611011400106930000&amp;isNoScr=script&amp;mode=search",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319.6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705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84000</v>
      </c>
      <c r="G1078" s="4" t="n">
        <v>276</v>
      </c>
      <c r="H1078" s="4" t="n">
        <v>83</v>
      </c>
      <c r="I1078" s="5" t="n">
        <v>1012</v>
      </c>
      <c r="J1078" s="5" t="n">
        <v>382.1</v>
      </c>
      <c r="K1078" s="3" t="inlineStr">
        <is>
          <t>조율가능 남향 늘봄초앞 BRT도보가능</t>
        </is>
      </c>
      <c r="L1078" s="6">
        <f>HYPERLINK("https://fin.land.naver.com/articles/2652943779", "매물Link")</f>
        <v/>
      </c>
      <c r="M1078" s="6">
        <f>HYPERLINK("https://map.naver.com/p/search/도담동 705", "지도Link")</f>
        <v/>
      </c>
      <c r="N1078" s="6">
        <f>HYPERLINK("http://www.eum.go.kr/web/ar/lu/luLandDet.jsp?pnu=3611011400107050000&amp;isNoScr=script&amp;mode=search",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276.9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712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87000</v>
      </c>
      <c r="G1079" s="4" t="n">
        <v>276</v>
      </c>
      <c r="H1079" s="4" t="n">
        <v>83</v>
      </c>
      <c r="I1079" s="5" t="n">
        <v>1048.2</v>
      </c>
      <c r="J1079" s="5" t="n">
        <v>394</v>
      </c>
      <c r="K1079" s="3" t="inlineStr">
        <is>
          <t>산조망 코너각지 정남향 입지최상</t>
        </is>
      </c>
      <c r="L1079" s="6">
        <f>HYPERLINK("https://fin.land.naver.com/articles/2656123691", "매물Link")</f>
        <v/>
      </c>
      <c r="M1079" s="6">
        <f>HYPERLINK("https://map.naver.com/p/search/도담동 712", "지도Link")</f>
        <v/>
      </c>
      <c r="N1079" s="6">
        <f>HYPERLINK("http://www.eum.go.kr/web/ar/lu/luLandDet.jsp?pnu=3611011400107120000&amp;isNoScr=script&amp;mode=search",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276.5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712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87000</v>
      </c>
      <c r="G1080" s="4" t="n">
        <v>276</v>
      </c>
      <c r="H1080" s="4" t="n">
        <v>83</v>
      </c>
      <c r="I1080" s="5" t="n">
        <v>1048.2</v>
      </c>
      <c r="J1080" s="5" t="n">
        <v>394</v>
      </c>
      <c r="K1080" s="3" t="inlineStr">
        <is>
          <t>삼거리 코너 입지, 도담동 단독주택 매매</t>
        </is>
      </c>
      <c r="L1080" s="6">
        <f>HYPERLINK("https://fin.land.naver.com/articles/2654218536", "매물Link")</f>
        <v/>
      </c>
      <c r="M1080" s="6">
        <f>HYPERLINK("https://map.naver.com/p/search/도담동 712", "지도Link")</f>
        <v/>
      </c>
      <c r="N1080" s="6">
        <f>HYPERLINK("http://www.eum.go.kr/web/ar/lu/luLandDet.jsp?pnu=3611011400107120000&amp;isNoScr=script&amp;mode=search",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276.5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712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87000</v>
      </c>
      <c r="G1081" s="4" t="n">
        <v>276</v>
      </c>
      <c r="H1081" s="4" t="n">
        <v>83</v>
      </c>
      <c r="I1081" s="5" t="n">
        <v>1048.2</v>
      </c>
      <c r="J1081" s="5" t="n">
        <v>394</v>
      </c>
      <c r="K1081" s="3" t="inlineStr">
        <is>
          <t>도담동 입지 좋은 단독주택지, 조율가능</t>
        </is>
      </c>
      <c r="L1081" s="6">
        <f>HYPERLINK("https://fin.land.naver.com/articles/2654049634", "매물Link")</f>
        <v/>
      </c>
      <c r="M1081" s="6">
        <f>HYPERLINK("https://map.naver.com/p/search/도담동 712", "지도Link")</f>
        <v/>
      </c>
      <c r="N1081" s="6">
        <f>HYPERLINK("http://www.eum.go.kr/web/ar/lu/luLandDet.jsp?pnu=3611011400107120000&amp;isNoScr=script&amp;mode=search",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276.5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 입지우수한 근생 용지 부지, 매매의사 확실,가격조율가능</t>
        </is>
      </c>
      <c r="L1082" s="6">
        <f>HYPERLINK("https://fin.land.naver.com/articles/2653451371",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짱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716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175000</v>
      </c>
      <c r="G1083" s="4" t="n">
        <v>420</v>
      </c>
      <c r="H1083" s="4" t="n">
        <v>127</v>
      </c>
      <c r="I1083" s="5" t="n">
        <v>1378</v>
      </c>
      <c r="J1083" s="5" t="n">
        <v>796</v>
      </c>
      <c r="K1083" s="3" t="inlineStr">
        <is>
          <t>입지 좋은 도담동 근린생활용지 토지 매매, 대로변</t>
        </is>
      </c>
      <c r="L1083" s="6">
        <f>HYPERLINK("https://fin.land.naver.com/articles/2655487648", "매물Link")</f>
        <v/>
      </c>
      <c r="M1083" s="6">
        <f>HYPERLINK("https://map.naver.com/p/search/도담동 716", "지도Link")</f>
        <v/>
      </c>
      <c r="N1083" s="6">
        <f>HYPERLINK("http://www.eum.go.kr/web/ar/lu/luLandDet.jsp?pnu=3611011400107160000&amp;isNoScr=script&amp;mode=search",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420.4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도담동 716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175000</v>
      </c>
      <c r="G1084" s="4" t="n">
        <v>420</v>
      </c>
      <c r="H1084" s="4" t="n">
        <v>127</v>
      </c>
      <c r="I1084" s="5" t="n">
        <v>1378</v>
      </c>
      <c r="J1084" s="5" t="n">
        <v>796</v>
      </c>
      <c r="K1084" s="3" t="inlineStr">
        <is>
          <t>도담동 근린생활용지</t>
        </is>
      </c>
      <c r="L1084" s="6">
        <f>HYPERLINK("https://fin.land.naver.com/articles/2653002307", "매물Link")</f>
        <v/>
      </c>
      <c r="M1084" s="6">
        <f>HYPERLINK("https://map.naver.com/p/search/도담동 716", "지도Link")</f>
        <v/>
      </c>
      <c r="N1084" s="6">
        <f>HYPERLINK("http://www.eum.go.kr/web/ar/lu/luLandDet.jsp?pnu=3611011400107160000&amp;isNoScr=script&amp;mode=search", "토지이음")</f>
        <v/>
      </c>
      <c r="O1084" s="3" t="inlineStr">
        <is>
          <t>OK세종 사무소</t>
        </is>
      </c>
      <c r="P1084" s="4" t="n">
        <v>2</v>
      </c>
      <c r="Q1084" s="4" t="n">
        <v>420.4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도담동 716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175000</v>
      </c>
      <c r="G1085" s="4" t="n">
        <v>420</v>
      </c>
      <c r="H1085" s="4" t="n">
        <v>127</v>
      </c>
      <c r="I1085" s="5" t="n">
        <v>1378</v>
      </c>
      <c r="J1085" s="5" t="n">
        <v>796</v>
      </c>
      <c r="K1085" s="3" t="inlineStr">
        <is>
          <t>도담동근생용지 주변입지좋아요. 가격조정가능</t>
        </is>
      </c>
      <c r="L1085" s="6">
        <f>HYPERLINK("https://fin.land.naver.com/articles/2656232398", "매물Link")</f>
        <v/>
      </c>
      <c r="M1085" s="6">
        <f>HYPERLINK("https://map.naver.com/p/search/도담동 716", "지도Link")</f>
        <v/>
      </c>
      <c r="N1085" s="6">
        <f>HYPERLINK("http://www.eum.go.kr/web/ar/lu/luLandDet.jsp?pnu=3611011400107160000&amp;isNoScr=script&amp;mode=search", "토지이음")</f>
        <v/>
      </c>
      <c r="O1085" s="3" t="inlineStr">
        <is>
          <t>고운동리치세종</t>
        </is>
      </c>
      <c r="P1085" s="4" t="n">
        <v>1</v>
      </c>
      <c r="Q1085" s="4" t="n">
        <v>420.4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도담동 716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175000</v>
      </c>
      <c r="G1086" s="4" t="n">
        <v>420</v>
      </c>
      <c r="H1086" s="4" t="n">
        <v>127</v>
      </c>
      <c r="I1086" s="5" t="n">
        <v>1378</v>
      </c>
      <c r="J1086" s="5" t="n">
        <v>796</v>
      </c>
      <c r="K1086" s="3" t="inlineStr">
        <is>
          <t>세종충남대학교병원 인접, 의료 운동 자동차 업종 추천</t>
        </is>
      </c>
      <c r="L1086" s="6">
        <f>HYPERLINK("https://fin.land.naver.com/articles/2655873307", "매물Link")</f>
        <v/>
      </c>
      <c r="M1086" s="6">
        <f>HYPERLINK("https://map.naver.com/p/search/도담동 716", "지도Link")</f>
        <v/>
      </c>
      <c r="N1086" s="6">
        <f>HYPERLINK("http://www.eum.go.kr/web/ar/lu/luLandDet.jsp?pnu=3611011400107160000&amp;isNoScr=script&amp;mode=search", "토지이음")</f>
        <v/>
      </c>
      <c r="O1086" s="3" t="inlineStr">
        <is>
          <t>세종신한</t>
        </is>
      </c>
      <c r="P1086" s="4" t="n">
        <v>1</v>
      </c>
      <c r="Q1086" s="4" t="n">
        <v>420.4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도담동 730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77000</v>
      </c>
      <c r="G1087" s="4" t="n">
        <v>319</v>
      </c>
      <c r="H1087" s="4" t="n">
        <v>96</v>
      </c>
      <c r="I1087" s="5" t="n">
        <v>802.1</v>
      </c>
      <c r="J1087" s="5" t="n">
        <v>382.1</v>
      </c>
      <c r="K1087" s="3" t="inlineStr">
        <is>
          <t>급매 도담동 최고입지 프라이버스 완벽하고 지대높은 위치최상</t>
        </is>
      </c>
      <c r="L1087" s="6">
        <f>HYPERLINK("https://fin.land.naver.com/articles/2651087923", "매물Link")</f>
        <v/>
      </c>
      <c r="M1087" s="6">
        <f>HYPERLINK("https://map.naver.com/p/search/도담동 730", "지도Link")</f>
        <v/>
      </c>
      <c r="N1087" s="6">
        <f>HYPERLINK("http://www.eum.go.kr/web/ar/lu/luLandDet.jsp?pnu=3611011400107300000&amp;isNoScr=script&amp;mode=search",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319.5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소로한면</t>
        </is>
      </c>
    </row>
    <row r="1088">
      <c r="A1088" s="3" t="inlineStr">
        <is>
          <t>도담동 757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92000</v>
      </c>
      <c r="G1088" s="4" t="n">
        <v>324</v>
      </c>
      <c r="H1088" s="4" t="n">
        <v>98</v>
      </c>
      <c r="I1088" s="5" t="n">
        <v>938.8</v>
      </c>
      <c r="J1088" s="5" t="n">
        <v>410.6</v>
      </c>
      <c r="K1088" s="3" t="inlineStr">
        <is>
          <t>홈플러스와 충대병원사이에 위치함 3면코너각지 청사및체육시설근거리이용</t>
        </is>
      </c>
      <c r="L1088" s="6">
        <f>HYPERLINK("https://fin.land.naver.com/articles/2653646623", "매물Link")</f>
        <v/>
      </c>
      <c r="M1088" s="6">
        <f>HYPERLINK("https://map.naver.com/p/search/도담동 757", "지도Link")</f>
        <v/>
      </c>
      <c r="N1088" s="6">
        <f>HYPERLINK("http://www.eum.go.kr/web/ar/lu/luLandDet.jsp?pnu=3611011400107570000&amp;isNoScr=script&amp;mode=search", "토지이음")</f>
        <v/>
      </c>
      <c r="O1088" s="3" t="inlineStr">
        <is>
          <t>세종마당</t>
        </is>
      </c>
      <c r="P1088" s="4" t="n">
        <v>1</v>
      </c>
      <c r="Q1088" s="4" t="n">
        <v>324.6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소로각지</t>
        </is>
      </c>
    </row>
    <row r="1089">
      <c r="A1089" s="3" t="inlineStr">
        <is>
          <t>도담동 763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295</v>
      </c>
      <c r="H1089" s="4" t="n">
        <v>89</v>
      </c>
      <c r="I1089" s="5" t="n">
        <v>898.9</v>
      </c>
      <c r="J1089" s="5" t="n">
        <v>410.6</v>
      </c>
      <c r="K1089" s="3" t="inlineStr">
        <is>
          <t>교통환경이 우수한 3면도로 접한 토지</t>
        </is>
      </c>
      <c r="L1089" s="6">
        <f>HYPERLINK("https://fin.land.naver.com/articles/2656278442", "매물Link")</f>
        <v/>
      </c>
      <c r="M1089" s="6">
        <f>HYPERLINK("https://map.naver.com/p/search/도담동 763", "지도Link")</f>
        <v/>
      </c>
      <c r="N1089" s="6">
        <f>HYPERLINK("http://www.eum.go.kr/web/ar/lu/luLandDet.jsp?pnu=3611011400107630000&amp;isNoScr=script&amp;mode=search", "토지이음")</f>
        <v/>
      </c>
      <c r="O1089" s="3" t="inlineStr">
        <is>
          <t>킹세종</t>
        </is>
      </c>
      <c r="P1089" s="4" t="n">
        <v>2</v>
      </c>
      <c r="Q1089" s="4" t="n">
        <v>295.5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소로각지</t>
        </is>
      </c>
    </row>
    <row r="1090">
      <c r="A1090" s="3" t="inlineStr">
        <is>
          <t>도담동 763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295</v>
      </c>
      <c r="H1090" s="4" t="n">
        <v>89</v>
      </c>
      <c r="I1090" s="5" t="n">
        <v>898.9</v>
      </c>
      <c r="J1090" s="5" t="n">
        <v>410.6</v>
      </c>
      <c r="K1090" s="3" t="inlineStr">
        <is>
          <t>입지 좋은 도담동 단독주택 토지매매</t>
        </is>
      </c>
      <c r="L1090" s="6">
        <f>HYPERLINK("https://fin.land.naver.com/articles/2656267537", "매물Link")</f>
        <v/>
      </c>
      <c r="M1090" s="6">
        <f>HYPERLINK("https://map.naver.com/p/search/도담동 763", "지도Link")</f>
        <v/>
      </c>
      <c r="N1090" s="6">
        <f>HYPERLINK("http://www.eum.go.kr/web/ar/lu/luLandDet.jsp?pnu=3611011400107630000&amp;isNoScr=script&amp;mode=search",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295.5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80000</v>
      </c>
      <c r="G1091" s="4" t="n">
        <v>295</v>
      </c>
      <c r="H1091" s="4" t="n">
        <v>89</v>
      </c>
      <c r="I1091" s="5" t="n">
        <v>898.9</v>
      </c>
      <c r="J1091" s="5" t="n">
        <v>410.6</v>
      </c>
      <c r="K1091" s="3" t="inlineStr">
        <is>
          <t>89.5p, 사거리 코너 입지, 위치 굿, 단지 바로 앞</t>
        </is>
      </c>
      <c r="L1091" s="6">
        <f>HYPERLINK("https://fin.land.naver.com/articles/2654220003", "매물Link")</f>
        <v/>
      </c>
      <c r="M1091" s="6">
        <f>HYPERLINK("https://map.naver.com/p/search/도담동 763", "지도Link")</f>
        <v/>
      </c>
      <c r="N1091" s="6">
        <f>HYPERLINK("http://www.eum.go.kr/web/ar/lu/luLandDet.jsp?pnu=3611011400107630000&amp;isNoScr=script&amp;mode=search",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295.5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776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97000</v>
      </c>
      <c r="G1092" s="4" t="n">
        <v>321</v>
      </c>
      <c r="H1092" s="4" t="n">
        <v>97</v>
      </c>
      <c r="I1092" s="5" t="n">
        <v>1000</v>
      </c>
      <c r="J1092" s="5" t="n">
        <v>406.6</v>
      </c>
      <c r="K1092" s="3" t="inlineStr">
        <is>
          <t>생명나무,도담동 홈플러스 근접거리  귀한 단독주택자리</t>
        </is>
      </c>
      <c r="L1092" s="6">
        <f>HYPERLINK("https://fin.land.naver.com/articles/2651385820", "매물Link")</f>
        <v/>
      </c>
      <c r="M1092" s="6">
        <f>HYPERLINK("https://map.naver.com/p/search/도담동 776", "지도Link")</f>
        <v/>
      </c>
      <c r="N1092" s="6">
        <f>HYPERLINK("http://www.eum.go.kr/web/ar/lu/luLandDet.jsp?pnu=3611011400107760000&amp;isNoScr=script&amp;mode=search", "토지이음")</f>
        <v/>
      </c>
      <c r="O1092" s="3" t="inlineStr">
        <is>
          <t>생명나무</t>
        </is>
      </c>
      <c r="P1092" s="4" t="n">
        <v>1</v>
      </c>
      <c r="Q1092" s="4" t="n">
        <v>321.7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도담동 778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95000</v>
      </c>
      <c r="G1093" s="4" t="n">
        <v>320</v>
      </c>
      <c r="H1093" s="4" t="n">
        <v>97</v>
      </c>
      <c r="I1093" s="5" t="n">
        <v>979.4</v>
      </c>
      <c r="J1093" s="5" t="n">
        <v>391.1</v>
      </c>
      <c r="K1093" s="3" t="inlineStr">
        <is>
          <t>홈플러스 가까운 도담동 위치좋은 주택지</t>
        </is>
      </c>
      <c r="L1093" s="6">
        <f>HYPERLINK("https://fin.land.naver.com/articles/2653001478", "매물Link")</f>
        <v/>
      </c>
      <c r="M1093" s="6">
        <f>HYPERLINK("https://map.naver.com/p/search/도담동 778", "지도Link")</f>
        <v/>
      </c>
      <c r="N1093" s="6">
        <f>HYPERLINK("http://www.eum.go.kr/web/ar/lu/luLandDet.jsp?pnu=3611011400107780000&amp;isNoScr=script&amp;mode=search", "토지이음")</f>
        <v/>
      </c>
      <c r="O1093" s="3" t="inlineStr">
        <is>
          <t>OK세종 사무소</t>
        </is>
      </c>
      <c r="P1093" s="4" t="n">
        <v>1</v>
      </c>
      <c r="Q1093" s="4" t="n">
        <v>320.6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779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90000</v>
      </c>
      <c r="G1094" s="4" t="n">
        <v>320</v>
      </c>
      <c r="H1094" s="4" t="n">
        <v>97</v>
      </c>
      <c r="I1094" s="5" t="n">
        <v>927.8</v>
      </c>
      <c r="J1094" s="5" t="n">
        <v>410.6</v>
      </c>
      <c r="K1094" s="3" t="inlineStr">
        <is>
          <t>BRT라인 상권,방축천 라인,청사,홈플러스,충대병원과 근접한 생활권 위치</t>
        </is>
      </c>
      <c r="L1094" s="6">
        <f>HYPERLINK("https://fin.land.naver.com/articles/2652105304", "매물Link")</f>
        <v/>
      </c>
      <c r="M1094" s="6">
        <f>HYPERLINK("https://map.naver.com/p/search/도담동 779", "지도Link")</f>
        <v/>
      </c>
      <c r="N1094" s="6">
        <f>HYPERLINK("http://www.eum.go.kr/web/ar/lu/luLandDet.jsp?pnu=3611011400107790000&amp;isNoScr=script&amp;mode=search", "토지이음")</f>
        <v/>
      </c>
      <c r="O1094" s="3" t="inlineStr">
        <is>
          <t>세종웅진</t>
        </is>
      </c>
      <c r="P1094" s="4" t="n">
        <v>1</v>
      </c>
      <c r="Q1094" s="4" t="n">
        <v>320.6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784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77000</v>
      </c>
      <c r="G1095" s="4" t="n">
        <v>341</v>
      </c>
      <c r="H1095" s="4" t="n">
        <v>103</v>
      </c>
      <c r="I1095" s="5" t="n">
        <v>747.6</v>
      </c>
      <c r="J1095" s="5" t="n">
        <v>410.6</v>
      </c>
      <c r="K1095" s="3" t="inlineStr">
        <is>
          <t>코너 유치원 홈플러스 늘봄초인근 조율가능</t>
        </is>
      </c>
      <c r="L1095" s="6">
        <f>HYPERLINK("https://fin.land.naver.com/articles/2655236017", "매물Link")</f>
        <v/>
      </c>
      <c r="M1095" s="6">
        <f>HYPERLINK("https://map.naver.com/p/search/도담동 784", "지도Link")</f>
        <v/>
      </c>
      <c r="N1095" s="6">
        <f>HYPERLINK("http://www.eum.go.kr/web/ar/lu/luLandDet.jsp?pnu=3611011400107840000&amp;isNoScr=script&amp;mode=search",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341.5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소로각지</t>
        </is>
      </c>
    </row>
    <row r="1096">
      <c r="A1096" s="3" t="inlineStr">
        <is>
          <t>도담동 784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77000</v>
      </c>
      <c r="G1096" s="4" t="n">
        <v>341</v>
      </c>
      <c r="H1096" s="4" t="n">
        <v>103</v>
      </c>
      <c r="I1096" s="5" t="n">
        <v>747.6</v>
      </c>
      <c r="J1096" s="5" t="n">
        <v>410.6</v>
      </c>
      <c r="K1096" s="3" t="inlineStr">
        <is>
          <t>도담동 생활권 입지 좋은 단독주택지 매매</t>
        </is>
      </c>
      <c r="L1096" s="6">
        <f>HYPERLINK("https://fin.land.naver.com/articles/2653567685", "매물Link")</f>
        <v/>
      </c>
      <c r="M1096" s="6">
        <f>HYPERLINK("https://map.naver.com/p/search/도담동 784", "지도Link")</f>
        <v/>
      </c>
      <c r="N1096" s="6">
        <f>HYPERLINK("http://www.eum.go.kr/web/ar/lu/luLandDet.jsp?pnu=3611011400107840000&amp;isNoScr=script&amp;mode=search",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341.5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소로각지</t>
        </is>
      </c>
    </row>
    <row r="1097">
      <c r="A1097" s="3" t="inlineStr">
        <is>
          <t>도담동 784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77000</v>
      </c>
      <c r="G1097" s="4" t="n">
        <v>341</v>
      </c>
      <c r="H1097" s="4" t="n">
        <v>103</v>
      </c>
      <c r="I1097" s="5" t="n">
        <v>747.6</v>
      </c>
      <c r="J1097" s="5" t="n">
        <v>410.6</v>
      </c>
      <c r="K1097" s="3" t="inlineStr">
        <is>
          <t>사거리 코너, 생활권 좋은 위치 단독주택지</t>
        </is>
      </c>
      <c r="L1097" s="6">
        <f>HYPERLINK("https://fin.land.naver.com/articles/2653681062", "매물Link")</f>
        <v/>
      </c>
      <c r="M1097" s="6">
        <f>HYPERLINK("https://map.naver.com/p/search/도담동 784", "지도Link")</f>
        <v/>
      </c>
      <c r="N1097" s="6">
        <f>HYPERLINK("http://www.eum.go.kr/web/ar/lu/luLandDet.jsp?pnu=3611011400107840000&amp;isNoScr=script&amp;mode=search",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341.5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소로각지</t>
        </is>
      </c>
    </row>
    <row r="1098">
      <c r="A1098" s="3" t="inlineStr">
        <is>
          <t>도담동 790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104000</v>
      </c>
      <c r="G1098" s="4" t="n">
        <v>342</v>
      </c>
      <c r="H1098" s="4" t="n">
        <v>103</v>
      </c>
      <c r="I1098" s="5" t="n">
        <v>1009.7</v>
      </c>
      <c r="J1098" s="5" t="n">
        <v>410.6</v>
      </c>
      <c r="K1098" s="3" t="inlineStr">
        <is>
          <t>총 103.7p, 정남향, 충대병원 홈플러스 인근</t>
        </is>
      </c>
      <c r="L1098" s="6">
        <f>HYPERLINK("https://fin.land.naver.com/articles/2653683816", "매물Link")</f>
        <v/>
      </c>
      <c r="M1098" s="6">
        <f>HYPERLINK("https://map.naver.com/p/search/도담동 790", "지도Link")</f>
        <v/>
      </c>
      <c r="N1098" s="6">
        <f>HYPERLINK("http://www.eum.go.kr/web/ar/lu/luLandDet.jsp?pnu=3611011400107900000&amp;isNoScr=script&amp;mode=search", "토지이음")</f>
        <v/>
      </c>
      <c r="O1098" s="3" t="inlineStr">
        <is>
          <t>명진</t>
        </is>
      </c>
      <c r="P1098" s="4" t="n">
        <v>1</v>
      </c>
      <c r="Q1098" s="4" t="n">
        <v>342.1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소로각지</t>
        </is>
      </c>
    </row>
    <row r="1099">
      <c r="A1099" s="3" t="inlineStr">
        <is>
          <t>도담동 790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104000</v>
      </c>
      <c r="G1099" s="4" t="n">
        <v>342</v>
      </c>
      <c r="H1099" s="4" t="n">
        <v>103</v>
      </c>
      <c r="I1099" s="5" t="n">
        <v>1009.7</v>
      </c>
      <c r="J1099" s="5" t="n">
        <v>410.6</v>
      </c>
      <c r="K1099" s="3" t="inlineStr">
        <is>
          <t>103.7p, 단지 맞은편, 유치원 인근</t>
        </is>
      </c>
      <c r="L1099" s="6">
        <f>HYPERLINK("https://fin.land.naver.com/articles/2654716583", "매물Link")</f>
        <v/>
      </c>
      <c r="M1099" s="6">
        <f>HYPERLINK("https://map.naver.com/p/search/도담동 790", "지도Link")</f>
        <v/>
      </c>
      <c r="N1099" s="6">
        <f>HYPERLINK("http://www.eum.go.kr/web/ar/lu/luLandDet.jsp?pnu=3611011400107900000&amp;isNoScr=script&amp;mode=search",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342.1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808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62500</v>
      </c>
      <c r="G1100" s="4" t="n">
        <v>319</v>
      </c>
      <c r="H1100" s="4" t="n">
        <v>96</v>
      </c>
      <c r="I1100" s="5" t="n">
        <v>651</v>
      </c>
      <c r="J1100" s="5" t="n">
        <v>391.1</v>
      </c>
      <c r="K1100" s="3" t="inlineStr">
        <is>
          <t>주변가격대비 현격한 급매가 매매</t>
        </is>
      </c>
      <c r="L1100" s="6">
        <f>HYPERLINK("https://fin.land.naver.com/articles/2656267192", "매물Link")</f>
        <v/>
      </c>
      <c r="M1100" s="6">
        <f>HYPERLINK("https://map.naver.com/p/search/도담동 808", "지도Link")</f>
        <v/>
      </c>
      <c r="N1100" s="6">
        <f>HYPERLINK("http://www.eum.go.kr/web/ar/lu/luLandDet.jsp?pnu=3611011400108080000&amp;isNoScr=script&amp;mode=search", "토지이음")</f>
        <v/>
      </c>
      <c r="O1100" s="3" t="inlineStr">
        <is>
          <t>킹세종</t>
        </is>
      </c>
      <c r="P1100" s="4" t="n">
        <v>2</v>
      </c>
      <c r="Q1100" s="4" t="n">
        <v>318.7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813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95000</v>
      </c>
      <c r="G1101" s="4" t="n">
        <v>333</v>
      </c>
      <c r="H1101" s="4" t="n">
        <v>101</v>
      </c>
      <c r="I1101" s="5" t="n">
        <v>940.6</v>
      </c>
      <c r="J1101" s="5" t="n">
        <v>391.1</v>
      </c>
      <c r="K1101" s="3" t="inlineStr">
        <is>
          <t>도담동 위치좋은 주택지</t>
        </is>
      </c>
      <c r="L1101" s="6">
        <f>HYPERLINK("https://fin.land.naver.com/articles/2653001833", "매물Link")</f>
        <v/>
      </c>
      <c r="M1101" s="6">
        <f>HYPERLINK("https://map.naver.com/p/search/도담동 813", "지도Link")</f>
        <v/>
      </c>
      <c r="N1101" s="6">
        <f>HYPERLINK("http://www.eum.go.kr/web/ar/lu/luLandDet.jsp?pnu=3611011400108130000&amp;isNoScr=script&amp;mode=search", "토지이음")</f>
        <v/>
      </c>
      <c r="O1101" s="3" t="inlineStr">
        <is>
          <t>OK세종 사무소</t>
        </is>
      </c>
      <c r="P1101" s="4" t="n">
        <v>1</v>
      </c>
      <c r="Q1101" s="4" t="n">
        <v>333.7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824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100000</v>
      </c>
      <c r="G1102" s="4" t="n">
        <v>313</v>
      </c>
      <c r="H1102" s="4" t="n">
        <v>95</v>
      </c>
      <c r="I1102" s="5" t="n">
        <v>1052.6</v>
      </c>
      <c r="J1102" s="5" t="n">
        <v>391.1</v>
      </c>
      <c r="K1102" s="3" t="inlineStr">
        <is>
          <t>남향필지 최선호지역 BRT도보가능 홈플러스인근</t>
        </is>
      </c>
      <c r="L1102" s="6">
        <f>HYPERLINK("https://fin.land.naver.com/articles/2654654235", "매물Link")</f>
        <v/>
      </c>
      <c r="M1102" s="6">
        <f>HYPERLINK("https://map.naver.com/p/search/도담동 824", "지도Link")</f>
        <v/>
      </c>
      <c r="N1102" s="6">
        <f>HYPERLINK("http://www.eum.go.kr/web/ar/lu/luLandDet.jsp?pnu=3611011400108240000&amp;isNoScr=script&amp;mode=search",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313.1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837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70000</v>
      </c>
      <c r="G1103" s="4" t="n">
        <v>315</v>
      </c>
      <c r="H1103" s="4" t="n">
        <v>95</v>
      </c>
      <c r="I1103" s="5" t="n">
        <v>736.8</v>
      </c>
      <c r="J1103" s="5" t="n">
        <v>391.1</v>
      </c>
      <c r="K1103" s="3" t="inlineStr">
        <is>
          <t>강추매물, 가격좋은 토지, 홈플인접</t>
        </is>
      </c>
      <c r="L1103" s="6">
        <f>HYPERLINK("https://fin.land.naver.com/articles/2651289273", "매물Link")</f>
        <v/>
      </c>
      <c r="M1103" s="6">
        <f>HYPERLINK("https://map.naver.com/p/search/도담동 837", "지도Link")</f>
        <v/>
      </c>
      <c r="N1103" s="6">
        <f>HYPERLINK("http://www.eum.go.kr/web/ar/lu/luLandDet.jsp?pnu=3611011400108370000&amp;isNoScr=script&amp;mode=search", "토지이음")</f>
        <v/>
      </c>
      <c r="O1103" s="3" t="inlineStr">
        <is>
          <t>사이다</t>
        </is>
      </c>
      <c r="P1103" s="4" t="n">
        <v>1</v>
      </c>
      <c r="Q1103" s="4" t="n">
        <v>315.9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837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90000</v>
      </c>
      <c r="G1104" s="4" t="n">
        <v>315</v>
      </c>
      <c r="H1104" s="4" t="n">
        <v>95</v>
      </c>
      <c r="I1104" s="5" t="n">
        <v>947.4</v>
      </c>
      <c r="J1104" s="5" t="n">
        <v>391.1</v>
      </c>
      <c r="K1104" s="3" t="inlineStr">
        <is>
          <t>95.7p, 도담동 홈플러스인근, 단독주택 토지매매</t>
        </is>
      </c>
      <c r="L1104" s="6">
        <f>HYPERLINK("https://fin.land.naver.com/articles/2654892301", "매물Link")</f>
        <v/>
      </c>
      <c r="M1104" s="6">
        <f>HYPERLINK("https://map.naver.com/p/search/도담동 837", "지도Link")</f>
        <v/>
      </c>
      <c r="N1104" s="6">
        <f>HYPERLINK("http://www.eum.go.kr/web/ar/lu/luLandDet.jsp?pnu=3611011400108370000&amp;isNoScr=script&amp;mode=search", "토지이음")</f>
        <v/>
      </c>
      <c r="O1104" s="3" t="inlineStr">
        <is>
          <t>명진</t>
        </is>
      </c>
      <c r="P1104" s="4" t="n">
        <v>1</v>
      </c>
      <c r="Q1104" s="4" t="n">
        <v>315.9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소로한면</t>
        </is>
      </c>
    </row>
    <row r="1105">
      <c r="A1105" s="3" t="inlineStr">
        <is>
          <t>도담동 837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90000</v>
      </c>
      <c r="G1105" s="4" t="n">
        <v>315</v>
      </c>
      <c r="H1105" s="4" t="n">
        <v>95</v>
      </c>
      <c r="I1105" s="5" t="n">
        <v>947.4</v>
      </c>
      <c r="J1105" s="5" t="n">
        <v>391.1</v>
      </c>
      <c r="K1105" s="3" t="inlineStr">
        <is>
          <t>도담동 위치 좋은 단독주택, 홈플러스 인근</t>
        </is>
      </c>
      <c r="L1105" s="6">
        <f>HYPERLINK("https://fin.land.naver.com/articles/2650892389", "매물Link")</f>
        <v/>
      </c>
      <c r="M1105" s="6">
        <f>HYPERLINK("https://map.naver.com/p/search/도담동 837", "지도Link")</f>
        <v/>
      </c>
      <c r="N1105" s="6">
        <f>HYPERLINK("http://www.eum.go.kr/web/ar/lu/luLandDet.jsp?pnu=3611011400108370000&amp;isNoScr=script&amp;mode=search",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315.9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897-1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140000</v>
      </c>
      <c r="G1106" s="4" t="n">
        <v>400</v>
      </c>
      <c r="H1106" s="4" t="n">
        <v>121</v>
      </c>
      <c r="I1106" s="5" t="n">
        <v>1157</v>
      </c>
      <c r="J1106" s="5" t="n">
        <v>353.1</v>
      </c>
      <c r="K1106" s="3" t="inlineStr">
        <is>
          <t>트로아힐스 건축 가능한 토지 매매</t>
        </is>
      </c>
      <c r="L1106" s="6">
        <f>HYPERLINK("https://fin.land.naver.com/articles/2655037406", "매물Link")</f>
        <v/>
      </c>
      <c r="M1106" s="6">
        <f>HYPERLINK("https://map.naver.com/p/search/도담동 897-1", "지도Link")</f>
        <v/>
      </c>
      <c r="N1106" s="6">
        <f>HYPERLINK("http://www.eum.go.kr/web/ar/lu/luLandDet.jsp?pnu=3611011400108970001&amp;isNoScr=script&amp;mode=search", "토지이음")</f>
        <v/>
      </c>
      <c r="O1106" s="3" t="inlineStr">
        <is>
          <t>세종시티</t>
        </is>
      </c>
      <c r="P1106" s="4" t="n">
        <v>1</v>
      </c>
      <c r="Q1106" s="4" t="n">
        <v>400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도담동 897-18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140000</v>
      </c>
      <c r="G1107" s="4" t="n">
        <v>400</v>
      </c>
      <c r="H1107" s="4" t="n">
        <v>121</v>
      </c>
      <c r="I1107" s="5" t="n">
        <v>1157</v>
      </c>
      <c r="J1107" s="5" t="n">
        <v>356.7</v>
      </c>
      <c r="K1107" s="3" t="inlineStr">
        <is>
          <t>세종 고급 타운하우스 선호 필지 매매</t>
        </is>
      </c>
      <c r="L1107" s="6">
        <f>HYPERLINK("https://fin.land.naver.com/articles/2655037336", "매물Link")</f>
        <v/>
      </c>
      <c r="M1107" s="6">
        <f>HYPERLINK("https://map.naver.com/p/search/도담동 897-18", "지도Link")</f>
        <v/>
      </c>
      <c r="N1107" s="6">
        <f>HYPERLINK("http://www.eum.go.kr/web/ar/lu/luLandDet.jsp?pnu=3611011400108970018&amp;isNoScr=script&amp;mode=search",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400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소로한면</t>
        </is>
      </c>
    </row>
    <row r="1108">
      <c r="A1108" s="3" t="inlineStr">
        <is>
          <t>도담동 897-24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400</v>
      </c>
      <c r="H1108" s="4" t="n">
        <v>121</v>
      </c>
      <c r="I1108" s="5" t="n">
        <v>1239.7</v>
      </c>
      <c r="J1108" s="5" t="n">
        <v>356.7</v>
      </c>
      <c r="K1108" s="3" t="inlineStr">
        <is>
          <t>nan</t>
        </is>
      </c>
      <c r="L1108" s="6">
        <f>HYPERLINK("https://fin.land.naver.com/articles/2653840859", "매물Link")</f>
        <v/>
      </c>
      <c r="M1108" s="6">
        <f>HYPERLINK("https://map.naver.com/p/search/도담동 897-24", "지도Link")</f>
        <v/>
      </c>
      <c r="N1108" s="6">
        <f>HYPERLINK("http://www.eum.go.kr/web/ar/lu/luLandDet.jsp?pnu=3611011400108970024&amp;isNoScr=script&amp;mode=search", "토지이음")</f>
        <v/>
      </c>
      <c r="O1108" s="3" t="inlineStr">
        <is>
          <t>세종스타</t>
        </is>
      </c>
      <c r="P1108" s="4" t="n">
        <v>2</v>
      </c>
      <c r="Q1108" s="4" t="n">
        <v>400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소로한면</t>
        </is>
      </c>
    </row>
    <row r="1109">
      <c r="A1109" s="3" t="inlineStr">
        <is>
          <t>반곡동 1003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190</v>
      </c>
      <c r="H1109" s="4" t="n">
        <v>57</v>
      </c>
      <c r="I1109" s="5" t="n">
        <v>789.5</v>
      </c>
      <c r="J1109" s="5" t="n">
        <v>262.3</v>
      </c>
      <c r="K1109" s="3" t="inlineStr">
        <is>
          <t>반곡동 숲세권 1종전용주거지역 용지</t>
        </is>
      </c>
      <c r="L1109" s="6">
        <f>HYPERLINK("https://fin.land.naver.com/articles/2656200125", "매물Link")</f>
        <v/>
      </c>
      <c r="M1109" s="6">
        <f>HYPERLINK("https://map.naver.com/p/search/반곡동 1003", "지도Link")</f>
        <v/>
      </c>
      <c r="N1109" s="6">
        <f>HYPERLINK("http://www.eum.go.kr/web/ar/lu/luLandDet.jsp?pnu=3611010100110030000&amp;isNoScr=script&amp;mode=search", "토지이음")</f>
        <v/>
      </c>
      <c r="O1109" s="3" t="inlineStr">
        <is>
          <t>황소플러스</t>
        </is>
      </c>
      <c r="P1109" s="4" t="n">
        <v>2</v>
      </c>
      <c r="Q1109" s="4" t="n">
        <v>190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1005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154</v>
      </c>
      <c r="H1110" s="4" t="n">
        <v>47</v>
      </c>
      <c r="I1110" s="5" t="n">
        <v>744.7</v>
      </c>
      <c r="J1110" s="5" t="n">
        <v>262.3</v>
      </c>
      <c r="K1110" s="3" t="inlineStr">
        <is>
          <t>조율가능 코너각지 소형 건폐율50프로</t>
        </is>
      </c>
      <c r="L1110" s="6">
        <f>HYPERLINK("https://fin.land.naver.com/articles/2656412595", "매물Link")</f>
        <v/>
      </c>
      <c r="M1110" s="6">
        <f>HYPERLINK("https://map.naver.com/p/search/반곡동 1005", "지도Link")</f>
        <v/>
      </c>
      <c r="N1110" s="6">
        <f>HYPERLINK("http://www.eum.go.kr/web/ar/lu/luLandDet.jsp?pnu=3611010100110050000&amp;isNoScr=script&amp;mode=search",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154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1061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70000</v>
      </c>
      <c r="G1111" s="4" t="n">
        <v>478</v>
      </c>
      <c r="H1111" s="4" t="n">
        <v>145</v>
      </c>
      <c r="I1111" s="5" t="n">
        <v>482.8</v>
      </c>
      <c r="J1111" s="5" t="n">
        <v>302.2</v>
      </c>
      <c r="K1111" s="3" t="inlineStr">
        <is>
          <t>nan</t>
        </is>
      </c>
      <c r="L1111" s="6">
        <f>HYPERLINK("https://fin.land.naver.com/articles/2655007875", "매물Link")</f>
        <v/>
      </c>
      <c r="M1111" s="6">
        <f>HYPERLINK("https://map.naver.com/p/search/반곡동 1061", "지도Link")</f>
        <v/>
      </c>
      <c r="N1111" s="6">
        <f>HYPERLINK("http://www.eum.go.kr/web/ar/lu/luLandDet.jsp?pnu=3611010100110610000&amp;isNoScr=script&amp;mode=search", "토지이음")</f>
        <v/>
      </c>
      <c r="O1111" s="3" t="inlineStr">
        <is>
          <t>디아트성심</t>
        </is>
      </c>
      <c r="P1111" s="4" t="n">
        <v>1</v>
      </c>
      <c r="Q1111" s="4" t="n">
        <v>478.4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소로한면</t>
        </is>
      </c>
    </row>
    <row r="1112">
      <c r="A1112" s="3" t="inlineStr">
        <is>
          <t>반곡동 1061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70000</v>
      </c>
      <c r="G1112" s="4" t="n">
        <v>478</v>
      </c>
      <c r="H1112" s="4" t="n">
        <v>145</v>
      </c>
      <c r="I1112" s="5" t="n">
        <v>482.8</v>
      </c>
      <c r="J1112" s="5" t="n">
        <v>302.2</v>
      </c>
      <c r="K1112" s="3" t="inlineStr">
        <is>
          <t>반곡동 토지매매, 대형평형</t>
        </is>
      </c>
      <c r="L1112" s="6">
        <f>HYPERLINK("https://fin.land.naver.com/articles/2654704541", "매물Link")</f>
        <v/>
      </c>
      <c r="M1112" s="6">
        <f>HYPERLINK("https://map.naver.com/p/search/반곡동 1061", "지도Link")</f>
        <v/>
      </c>
      <c r="N1112" s="6">
        <f>HYPERLINK("http://www.eum.go.kr/web/ar/lu/luLandDet.jsp?pnu=3611010100110610000&amp;isNoScr=script&amp;mode=search",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478.4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소로한면</t>
        </is>
      </c>
    </row>
    <row r="1113">
      <c r="A1113" s="3" t="inlineStr">
        <is>
          <t>반곡동 1061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70000</v>
      </c>
      <c r="G1113" s="4" t="n">
        <v>478</v>
      </c>
      <c r="H1113" s="4" t="n">
        <v>145</v>
      </c>
      <c r="I1113" s="5" t="n">
        <v>482.8</v>
      </c>
      <c r="J1113" s="5" t="n">
        <v>302.2</v>
      </c>
      <c r="K1113" s="3" t="inlineStr">
        <is>
          <t>급매 KDI옆 반곡동D2 넓은평수 144.71p</t>
        </is>
      </c>
      <c r="L1113" s="6">
        <f>HYPERLINK("https://fin.land.naver.com/articles/2655202638", "매물Link")</f>
        <v/>
      </c>
      <c r="M1113" s="6">
        <f>HYPERLINK("https://map.naver.com/p/search/반곡동 1061", "지도Link")</f>
        <v/>
      </c>
      <c r="N1113" s="6">
        <f>HYPERLINK("http://www.eum.go.kr/web/ar/lu/luLandDet.jsp?pnu=3611010100110610000&amp;isNoScr=script&amp;mode=search",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478.4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가로장방</t>
        </is>
      </c>
      <c r="V1113" s="3" t="inlineStr">
        <is>
          <t>소로한면</t>
        </is>
      </c>
    </row>
    <row r="1114">
      <c r="A1114" s="3" t="inlineStr">
        <is>
          <t>반곡동 1077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65000</v>
      </c>
      <c r="G1114" s="4" t="n">
        <v>445</v>
      </c>
      <c r="H1114" s="4" t="n">
        <v>135</v>
      </c>
      <c r="I1114" s="5" t="n">
        <v>481.5</v>
      </c>
      <c r="J1114" s="5" t="n">
        <v>308</v>
      </c>
      <c r="K1114" s="3" t="inlineStr">
        <is>
          <t>공원 앞, 사거리 코너 각지 위치, 입지 좋은 토지</t>
        </is>
      </c>
      <c r="L1114" s="6">
        <f>HYPERLINK("https://fin.land.naver.com/articles/2653567967", "매물Link")</f>
        <v/>
      </c>
      <c r="M1114" s="6">
        <f>HYPERLINK("https://map.naver.com/p/search/반곡동 1077", "지도Link")</f>
        <v/>
      </c>
      <c r="N1114" s="6">
        <f>HYPERLINK("http://www.eum.go.kr/web/ar/lu/luLandDet.jsp?pnu=3611010100110770000&amp;isNoScr=script&amp;mode=search",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445.5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반곡동 1077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445</v>
      </c>
      <c r="H1115" s="4" t="n">
        <v>135</v>
      </c>
      <c r="I1115" s="5" t="n">
        <v>592.6</v>
      </c>
      <c r="J1115" s="5" t="n">
        <v>308</v>
      </c>
      <c r="K1115" s="3" t="inlineStr">
        <is>
          <t>135p, 넓은 단독주택 토지매매, 공원앞, 입지 굿</t>
        </is>
      </c>
      <c r="L1115" s="6">
        <f>HYPERLINK("https://fin.land.naver.com/articles/2653687042", "매물Link")</f>
        <v/>
      </c>
      <c r="M1115" s="6">
        <f>HYPERLINK("https://map.naver.com/p/search/반곡동 1077", "지도Link")</f>
        <v/>
      </c>
      <c r="N1115" s="6">
        <f>HYPERLINK("http://www.eum.go.kr/web/ar/lu/luLandDet.jsp?pnu=3611010100110770000&amp;isNoScr=script&amp;mode=search", "토지이음")</f>
        <v/>
      </c>
      <c r="O1115" s="3" t="inlineStr">
        <is>
          <t>명진</t>
        </is>
      </c>
      <c r="P1115" s="4" t="n">
        <v>1</v>
      </c>
      <c r="Q1115" s="4" t="n">
        <v>445.5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반곡동 1077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65000</v>
      </c>
      <c r="G1116" s="4" t="n">
        <v>445</v>
      </c>
      <c r="H1116" s="4" t="n">
        <v>135</v>
      </c>
      <c r="I1116" s="5" t="n">
        <v>481.5</v>
      </c>
      <c r="J1116" s="5" t="n">
        <v>308</v>
      </c>
      <c r="K1116" s="3" t="inlineStr">
        <is>
          <t>적극조율가능 공원앞 코너각지 135p</t>
        </is>
      </c>
      <c r="L1116" s="6">
        <f>HYPERLINK("https://fin.land.naver.com/articles/2655021890", "매물Link")</f>
        <v/>
      </c>
      <c r="M1116" s="6">
        <f>HYPERLINK("https://map.naver.com/p/search/반곡동 1077", "지도Link")</f>
        <v/>
      </c>
      <c r="N1116" s="6">
        <f>HYPERLINK("http://www.eum.go.kr/web/ar/lu/luLandDet.jsp?pnu=3611010100110770000&amp;isNoScr=script&amp;mode=search", "토지이음")</f>
        <v/>
      </c>
      <c r="O1116" s="3" t="inlineStr">
        <is>
          <t>세종스타</t>
        </is>
      </c>
      <c r="P1116" s="4" t="n">
        <v>2</v>
      </c>
      <c r="Q1116" s="4" t="n">
        <v>445.5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반곡동 1090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75000</v>
      </c>
      <c r="G1117" s="4" t="n">
        <v>442</v>
      </c>
      <c r="H1117" s="4" t="n">
        <v>134</v>
      </c>
      <c r="I1117" s="5" t="n">
        <v>559.7</v>
      </c>
      <c r="J1117" s="5" t="n">
        <v>308</v>
      </c>
      <c r="K1117" s="3" t="inlineStr">
        <is>
          <t>nan</t>
        </is>
      </c>
      <c r="L1117" s="6">
        <f>HYPERLINK("https://fin.land.naver.com/articles/2655008039", "매물Link")</f>
        <v/>
      </c>
      <c r="M1117" s="6">
        <f>HYPERLINK("https://map.naver.com/p/search/반곡동 1090", "지도Link")</f>
        <v/>
      </c>
      <c r="N1117" s="6">
        <f>HYPERLINK("http://www.eum.go.kr/web/ar/lu/luLandDet.jsp?pnu=3611010100110900000&amp;isNoScr=script&amp;mode=search", "토지이음")</f>
        <v/>
      </c>
      <c r="O1117" s="3" t="inlineStr">
        <is>
          <t>디아트성심</t>
        </is>
      </c>
      <c r="P1117" s="4" t="n">
        <v>1</v>
      </c>
      <c r="Q1117" s="4" t="n">
        <v>440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반곡동 1096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74700</v>
      </c>
      <c r="G1118" s="4" t="n">
        <v>466</v>
      </c>
      <c r="H1118" s="4" t="n">
        <v>141</v>
      </c>
      <c r="I1118" s="5" t="n">
        <v>529.8</v>
      </c>
      <c r="J1118" s="5" t="n">
        <v>302.2</v>
      </c>
      <c r="K1118" s="3" t="inlineStr">
        <is>
          <t>nan</t>
        </is>
      </c>
      <c r="L1118" s="6">
        <f>HYPERLINK("https://fin.land.naver.com/articles/2655008098", "매물Link")</f>
        <v/>
      </c>
      <c r="M1118" s="6">
        <f>HYPERLINK("https://map.naver.com/p/search/반곡동 1096", "지도Link")</f>
        <v/>
      </c>
      <c r="N1118" s="6">
        <f>HYPERLINK("http://www.eum.go.kr/web/ar/lu/luLandDet.jsp?pnu=3611010100110960000&amp;isNoScr=script&amp;mode=search", "토지이음")</f>
        <v/>
      </c>
      <c r="O1118" s="3" t="inlineStr">
        <is>
          <t>디아트성심</t>
        </is>
      </c>
      <c r="P1118" s="4" t="n">
        <v>1</v>
      </c>
      <c r="Q1118" s="4" t="n">
        <v>466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소로한면</t>
        </is>
      </c>
    </row>
    <row r="1119">
      <c r="A1119" s="3" t="inlineStr">
        <is>
          <t>반곡동 1107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67000</v>
      </c>
      <c r="G1119" s="4" t="n">
        <v>436</v>
      </c>
      <c r="H1119" s="4" t="n">
        <v>132</v>
      </c>
      <c r="I1119" s="5" t="n">
        <v>507.6</v>
      </c>
      <c r="J1119" s="5" t="n">
        <v>311.3</v>
      </c>
      <c r="K1119" s="3" t="inlineStr">
        <is>
          <t>삼거리 코너, 위치 좋은 반곡동 토지매매</t>
        </is>
      </c>
      <c r="L1119" s="6">
        <f>HYPERLINK("https://fin.land.naver.com/articles/2654691212", "매물Link")</f>
        <v/>
      </c>
      <c r="M1119" s="6">
        <f>HYPERLINK("https://map.naver.com/p/search/반곡동 1107", "지도Link")</f>
        <v/>
      </c>
      <c r="N1119" s="6">
        <f>HYPERLINK("http://www.eum.go.kr/web/ar/lu/luLandDet.jsp?pnu=3611010100111070000&amp;isNoScr=script&amp;mode=search",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436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반곡동 1107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67000</v>
      </c>
      <c r="G1120" s="4" t="n">
        <v>436</v>
      </c>
      <c r="H1120" s="4" t="n">
        <v>132</v>
      </c>
      <c r="I1120" s="5" t="n">
        <v>507.6</v>
      </c>
      <c r="J1120" s="5" t="n">
        <v>311.3</v>
      </c>
      <c r="K1120" s="3" t="inlineStr">
        <is>
          <t>급매 코너각지 132p 추가조율가능</t>
        </is>
      </c>
      <c r="L1120" s="6">
        <f>HYPERLINK("https://fin.land.naver.com/articles/2655202403", "매물Link")</f>
        <v/>
      </c>
      <c r="M1120" s="6">
        <f>HYPERLINK("https://map.naver.com/p/search/반곡동 1107", "지도Link")</f>
        <v/>
      </c>
      <c r="N1120" s="6">
        <f>HYPERLINK("http://www.eum.go.kr/web/ar/lu/luLandDet.jsp?pnu=3611010100111070000&amp;isNoScr=script&amp;mode=search", "토지이음")</f>
        <v/>
      </c>
      <c r="O1120" s="3" t="inlineStr">
        <is>
          <t>세종스타</t>
        </is>
      </c>
      <c r="P1120" s="4" t="n">
        <v>1</v>
      </c>
      <c r="Q1120" s="4" t="n">
        <v>436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반곡동 1129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74400</v>
      </c>
      <c r="G1121" s="4" t="n">
        <v>184</v>
      </c>
      <c r="H1121" s="4" t="n">
        <v>56</v>
      </c>
      <c r="I1121" s="5" t="n">
        <v>1328.6</v>
      </c>
      <c r="J1121" s="5" t="n">
        <v>406.3</v>
      </c>
      <c r="K1121" s="3" t="inlineStr">
        <is>
          <t>상가주택용 토지,설계도면무료제공</t>
        </is>
      </c>
      <c r="L1121" s="6">
        <f>HYPERLINK("https://fin.land.naver.com/articles/2655037117", "매물Link")</f>
        <v/>
      </c>
      <c r="M1121" s="6">
        <f>HYPERLINK("https://map.naver.com/p/search/반곡동 1129", "지도Link")</f>
        <v/>
      </c>
      <c r="N1121" s="6">
        <f>HYPERLINK("http://www.eum.go.kr/web/ar/lu/luLandDet.jsp?pnu=3611010100111290000&amp;isNoScr=script&amp;mode=search",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184.4</v>
      </c>
      <c r="R1121" s="3" t="inlineStr">
        <is>
          <t>지정되지않음</t>
        </is>
      </c>
      <c r="S1121" s="3" t="inlineStr">
        <is>
          <t>주상나지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반곡동 1130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76000</v>
      </c>
      <c r="G1122" s="4" t="n">
        <v>186</v>
      </c>
      <c r="H1122" s="4" t="n">
        <v>56</v>
      </c>
      <c r="I1122" s="5" t="n">
        <v>1357.1</v>
      </c>
      <c r="J1122" s="5" t="n">
        <v>406.3</v>
      </c>
      <c r="K1122" s="3" t="inlineStr">
        <is>
          <t>상가주택지매매, 협의가능, 설계도면제공원할시.
자세한건 사무실로 연락~</t>
        </is>
      </c>
      <c r="L1122" s="6">
        <f>HYPERLINK("https://fin.land.naver.com/articles/2655037188", "매물Link")</f>
        <v/>
      </c>
      <c r="M1122" s="6">
        <f>HYPERLINK("https://map.naver.com/p/search/반곡동 1130", "지도Link")</f>
        <v/>
      </c>
      <c r="N1122" s="6">
        <f>HYPERLINK("http://www.eum.go.kr/web/ar/lu/luLandDet.jsp?pnu=3611010100111300000&amp;isNoScr=script&amp;mode=search", "토지이음")</f>
        <v/>
      </c>
      <c r="O1122" s="3" t="inlineStr">
        <is>
          <t>세종시티</t>
        </is>
      </c>
      <c r="P1122" s="4" t="n">
        <v>1</v>
      </c>
      <c r="Q1122" s="4" t="n">
        <v>186.4</v>
      </c>
      <c r="R1122" s="3" t="inlineStr">
        <is>
          <t>지정되지않음</t>
        </is>
      </c>
      <c r="S1122" s="3" t="inlineStr">
        <is>
          <t>주상나지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1137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231</v>
      </c>
      <c r="H1123" s="4" t="n">
        <v>70</v>
      </c>
      <c r="I1123" s="5" t="n">
        <v>1142.9</v>
      </c>
      <c r="J1123" s="5" t="n">
        <v>450.6</v>
      </c>
      <c r="K1123" s="3" t="inlineStr">
        <is>
          <t>세종시 유일 점포 주택, 반곡동 단독주택지  괴화산 수루배마을 중심부</t>
        </is>
      </c>
      <c r="L1123" s="6">
        <f>HYPERLINK("https://fin.land.naver.com/articles/2650832993", "매물Link")</f>
        <v/>
      </c>
      <c r="M1123" s="6">
        <f>HYPERLINK("https://map.naver.com/p/search/반곡동 1137", "지도Link")</f>
        <v/>
      </c>
      <c r="N1123" s="6">
        <f>HYPERLINK("http://www.eum.go.kr/web/ar/lu/luLandDet.jsp?pnu=3611010100111370000&amp;isNoScr=script&amp;mode=search", "토지이음")</f>
        <v/>
      </c>
      <c r="O1123" s="3" t="inlineStr">
        <is>
          <t>세종디아트114</t>
        </is>
      </c>
      <c r="P1123" s="4" t="n">
        <v>1</v>
      </c>
      <c r="Q1123" s="4" t="n">
        <v>230.7</v>
      </c>
      <c r="R1123" s="3" t="inlineStr">
        <is>
          <t>지정되지않음</t>
        </is>
      </c>
      <c r="S1123" s="3" t="inlineStr">
        <is>
          <t>주상나지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중로각지</t>
        </is>
      </c>
    </row>
    <row r="1124">
      <c r="A1124" s="3" t="inlineStr">
        <is>
          <t>반곡동 1156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210000</v>
      </c>
      <c r="G1124" s="4" t="n">
        <v>617</v>
      </c>
      <c r="H1124" s="4" t="n">
        <v>187</v>
      </c>
      <c r="I1124" s="5" t="n">
        <v>1123</v>
      </c>
      <c r="J1124" s="5" t="n">
        <v>581.2</v>
      </c>
      <c r="K1124" s="3" t="inlineStr">
        <is>
          <t>명성공인, 전용186.64, 근생용지 추천 매물</t>
        </is>
      </c>
      <c r="L1124" s="6">
        <f>HYPERLINK("https://fin.land.naver.com/articles/2652073710", "매물Link")</f>
        <v/>
      </c>
      <c r="M1124" s="6">
        <f>HYPERLINK("https://map.naver.com/p/search/반곡동 1156", "지도Link")</f>
        <v/>
      </c>
      <c r="N1124" s="6">
        <f>HYPERLINK("http://www.eum.go.kr/web/ar/lu/luLandDet.jsp?pnu=3611010100111560000&amp;isNoScr=script&amp;mode=search", "토지이음")</f>
        <v/>
      </c>
      <c r="O1124" s="3" t="inlineStr">
        <is>
          <t>명성</t>
        </is>
      </c>
      <c r="P1124" s="4" t="n">
        <v>1</v>
      </c>
      <c r="Q1124" s="4" t="n">
        <v>617</v>
      </c>
      <c r="R1124" s="3" t="inlineStr">
        <is>
          <t>지정되지않음</t>
        </is>
      </c>
      <c r="S1124" s="3" t="inlineStr">
        <is>
          <t>상업나지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중로각지</t>
        </is>
      </c>
    </row>
    <row r="1125">
      <c r="A1125" s="3" t="inlineStr">
        <is>
          <t>반곡동 1156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210000</v>
      </c>
      <c r="G1125" s="4" t="n">
        <v>617</v>
      </c>
      <c r="H1125" s="4" t="n">
        <v>187</v>
      </c>
      <c r="I1125" s="5" t="n">
        <v>1123</v>
      </c>
      <c r="J1125" s="5" t="n">
        <v>581.2</v>
      </c>
      <c r="K1125" s="3" t="inlineStr">
        <is>
          <t>음식점, 카페, 동물병원, 썬팅 세차 코팅등 자동차 관련, 운동시설 추</t>
        </is>
      </c>
      <c r="L1125" s="6">
        <f>HYPERLINK("https://fin.land.naver.com/articles/2655933031", "매물Link")</f>
        <v/>
      </c>
      <c r="M1125" s="6">
        <f>HYPERLINK("https://map.naver.com/p/search/반곡동 1156", "지도Link")</f>
        <v/>
      </c>
      <c r="N1125" s="6">
        <f>HYPERLINK("http://www.eum.go.kr/web/ar/lu/luLandDet.jsp?pnu=3611010100111560000&amp;isNoScr=script&amp;mode=search", "토지이음")</f>
        <v/>
      </c>
      <c r="O1125" s="3" t="inlineStr">
        <is>
          <t>세종신한</t>
        </is>
      </c>
      <c r="P1125" s="4" t="n">
        <v>2</v>
      </c>
      <c r="Q1125" s="4" t="n">
        <v>617</v>
      </c>
      <c r="R1125" s="3" t="inlineStr">
        <is>
          <t>지정되지않음</t>
        </is>
      </c>
      <c r="S1125" s="3" t="inlineStr">
        <is>
          <t>상업나지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중로각지</t>
        </is>
      </c>
    </row>
    <row r="1126">
      <c r="A1126" s="3" t="inlineStr">
        <is>
          <t>반곡동 901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88000</v>
      </c>
      <c r="G1126" s="4" t="n">
        <v>289</v>
      </c>
      <c r="H1126" s="4" t="n">
        <v>87</v>
      </c>
      <c r="I1126" s="5" t="n">
        <v>1011.5</v>
      </c>
      <c r="J1126" s="5" t="n">
        <v>262.6</v>
      </c>
      <c r="K1126" s="3" t="inlineStr">
        <is>
          <t>지대높고트여있어 조망좋음. 건폐율50,용적률80</t>
        </is>
      </c>
      <c r="L1126" s="6">
        <f>HYPERLINK("https://fin.land.naver.com/articles/2655007668", "매물Link")</f>
        <v/>
      </c>
      <c r="M1126" s="6">
        <f>HYPERLINK("https://map.naver.com/p/search/반곡동 901", "지도Link")</f>
        <v/>
      </c>
      <c r="N1126" s="6">
        <f>HYPERLINK("http://www.eum.go.kr/web/ar/lu/luLandDet.jsp?pnu=3611010100109010000&amp;isNoScr=script&amp;mode=search", "토지이음")</f>
        <v/>
      </c>
      <c r="O1126" s="3" t="inlineStr">
        <is>
          <t>디아트성심</t>
        </is>
      </c>
      <c r="P1126" s="4" t="n">
        <v>1</v>
      </c>
      <c r="Q1126" s="4" t="n">
        <v>289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반곡동 901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88000</v>
      </c>
      <c r="G1127" s="4" t="n">
        <v>289</v>
      </c>
      <c r="H1127" s="4" t="n">
        <v>87</v>
      </c>
      <c r="I1127" s="5" t="n">
        <v>1011.5</v>
      </c>
      <c r="J1127" s="5" t="n">
        <v>262.6</v>
      </c>
      <c r="K1127" s="3" t="inlineStr">
        <is>
          <t>지대높고 옆조망 뒷조망 잘나오는곳 초등학교 인접 BRT 인접</t>
        </is>
      </c>
      <c r="L1127" s="6">
        <f>HYPERLINK("https://fin.land.naver.com/articles/2654654291", "매물Link")</f>
        <v/>
      </c>
      <c r="M1127" s="6">
        <f>HYPERLINK("https://map.naver.com/p/search/반곡동 901", "지도Link")</f>
        <v/>
      </c>
      <c r="N1127" s="6">
        <f>HYPERLINK("http://www.eum.go.kr/web/ar/lu/luLandDet.jsp?pnu=3611010100109010000&amp;isNoScr=script&amp;mode=search", "토지이음")</f>
        <v/>
      </c>
      <c r="O1127" s="3" t="inlineStr">
        <is>
          <t>세종스타</t>
        </is>
      </c>
      <c r="P1127" s="4" t="n">
        <v>2</v>
      </c>
      <c r="Q1127" s="4" t="n">
        <v>289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901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88000</v>
      </c>
      <c r="G1128" s="4" t="n">
        <v>289</v>
      </c>
      <c r="H1128" s="4" t="n">
        <v>87</v>
      </c>
      <c r="I1128" s="5" t="n">
        <v>1011.5</v>
      </c>
      <c r="J1128" s="5" t="n">
        <v>262.6</v>
      </c>
      <c r="K1128" s="3" t="inlineStr">
        <is>
          <t>초등학교 인접, 반곡동 토지매매, 지대 높음</t>
        </is>
      </c>
      <c r="L1128" s="6">
        <f>HYPERLINK("https://fin.land.naver.com/articles/2654704892", "매물Link")</f>
        <v/>
      </c>
      <c r="M1128" s="6">
        <f>HYPERLINK("https://map.naver.com/p/search/반곡동 901", "지도Link")</f>
        <v/>
      </c>
      <c r="N1128" s="6">
        <f>HYPERLINK("http://www.eum.go.kr/web/ar/lu/luLandDet.jsp?pnu=3611010100109010000&amp;isNoScr=script&amp;mode=search",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289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908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321</v>
      </c>
      <c r="H1129" s="4" t="n">
        <v>97</v>
      </c>
      <c r="I1129" s="5" t="n">
        <v>824.7</v>
      </c>
      <c r="J1129" s="5" t="n">
        <v>270.5</v>
      </c>
      <c r="K1129" s="3" t="inlineStr">
        <is>
          <t>사거리 코너입지, 시유지 접한 위치 좋은 토지</t>
        </is>
      </c>
      <c r="L1129" s="6">
        <f>HYPERLINK("https://fin.land.naver.com/articles/2654691085", "매물Link")</f>
        <v/>
      </c>
      <c r="M1129" s="6">
        <f>HYPERLINK("https://map.naver.com/p/search/반곡동 908", "지도Link")</f>
        <v/>
      </c>
      <c r="N1129" s="6">
        <f>HYPERLINK("http://www.eum.go.kr/web/ar/lu/luLandDet.jsp?pnu=3611010100109080000&amp;isNoScr=script&amp;mode=search",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321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908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80000</v>
      </c>
      <c r="G1130" s="4" t="n">
        <v>321</v>
      </c>
      <c r="H1130" s="4" t="n">
        <v>97</v>
      </c>
      <c r="I1130" s="5" t="n">
        <v>824.7</v>
      </c>
      <c r="J1130" s="5" t="n">
        <v>270.5</v>
      </c>
      <c r="K1130" s="3" t="inlineStr">
        <is>
          <t>3면코너 시유지접함 위치최상</t>
        </is>
      </c>
      <c r="L1130" s="6">
        <f>HYPERLINK("https://fin.land.naver.com/articles/2655192384", "매물Link")</f>
        <v/>
      </c>
      <c r="M1130" s="6">
        <f>HYPERLINK("https://map.naver.com/p/search/반곡동 908", "지도Link")</f>
        <v/>
      </c>
      <c r="N1130" s="6">
        <f>HYPERLINK("http://www.eum.go.kr/web/ar/lu/luLandDet.jsp?pnu=3611010100109080000&amp;isNoScr=script&amp;mode=search",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913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64000</v>
      </c>
      <c r="G1131" s="4" t="n">
        <v>294</v>
      </c>
      <c r="H1131" s="4" t="n">
        <v>89</v>
      </c>
      <c r="I1131" s="5" t="n">
        <v>719.1</v>
      </c>
      <c r="J1131" s="5" t="n">
        <v>262.6</v>
      </c>
      <c r="K1131" s="3" t="inlineStr">
        <is>
          <t>괴화산과 공지 품은 힐링되는 귀한 반곡동 단독주택 필지</t>
        </is>
      </c>
      <c r="L1131" s="6">
        <f>HYPERLINK("https://fin.land.naver.com/articles/2650850082", "매물Link")</f>
        <v/>
      </c>
      <c r="M1131" s="6">
        <f>HYPERLINK("https://map.naver.com/p/search/반곡동 913", "지도Link")</f>
        <v/>
      </c>
      <c r="N1131" s="6">
        <f>HYPERLINK("http://www.eum.go.kr/web/ar/lu/luLandDet.jsp?pnu=3611010100109130000&amp;isNoScr=script&amp;mode=search", "토지이음")</f>
        <v/>
      </c>
      <c r="O1131" s="3" t="inlineStr">
        <is>
          <t>세종신한</t>
        </is>
      </c>
      <c r="P1131" s="4" t="n">
        <v>1</v>
      </c>
      <c r="Q1131" s="4" t="n">
        <v>294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915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65000</v>
      </c>
      <c r="G1132" s="4" t="n">
        <v>295</v>
      </c>
      <c r="H1132" s="4" t="n">
        <v>89</v>
      </c>
      <c r="I1132" s="5" t="n">
        <v>730.3</v>
      </c>
      <c r="J1132" s="5" t="n">
        <v>262.6</v>
      </c>
      <c r="K1132" s="3" t="inlineStr">
        <is>
          <t>산접한곳 숲유치원 초등학교 인근</t>
        </is>
      </c>
      <c r="L1132" s="6">
        <f>HYPERLINK("https://fin.land.naver.com/articles/2655192759", "매물Link")</f>
        <v/>
      </c>
      <c r="M1132" s="6">
        <f>HYPERLINK("https://map.naver.com/p/search/반곡동 915", "지도Link")</f>
        <v/>
      </c>
      <c r="N1132" s="6">
        <f>HYPERLINK("http://www.eum.go.kr/web/ar/lu/luLandDet.jsp?pnu=3611010100109150000&amp;isNoScr=script&amp;mode=search",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295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915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65000</v>
      </c>
      <c r="G1133" s="4" t="n">
        <v>295</v>
      </c>
      <c r="H1133" s="4" t="n">
        <v>89</v>
      </c>
      <c r="I1133" s="5" t="n">
        <v>730.3</v>
      </c>
      <c r="J1133" s="5" t="n">
        <v>262.6</v>
      </c>
      <c r="K1133" s="3" t="inlineStr">
        <is>
          <t>유치원. 초등학교 인근, 조용한 입지 토지</t>
        </is>
      </c>
      <c r="L1133" s="6">
        <f>HYPERLINK("https://fin.land.naver.com/articles/2654693066", "매물Link")</f>
        <v/>
      </c>
      <c r="M1133" s="6">
        <f>HYPERLINK("https://map.naver.com/p/search/반곡동 915", "지도Link")</f>
        <v/>
      </c>
      <c r="N1133" s="6">
        <f>HYPERLINK("http://www.eum.go.kr/web/ar/lu/luLandDet.jsp?pnu=3611010100109150000&amp;isNoScr=script&amp;mode=search",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295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932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97000</v>
      </c>
      <c r="G1134" s="4" t="n">
        <v>321</v>
      </c>
      <c r="H1134" s="4" t="n">
        <v>97</v>
      </c>
      <c r="I1134" s="5" t="n">
        <v>1000</v>
      </c>
      <c r="J1134" s="5" t="n">
        <v>262.3</v>
      </c>
      <c r="K1134" s="3" t="inlineStr">
        <is>
          <t>위치좋은 지대높은 토지, 97.2p, 시유지 40p 사용가능</t>
        </is>
      </c>
      <c r="L1134" s="6">
        <f>HYPERLINK("https://fin.land.naver.com/articles/2651189098", "매물Link")</f>
        <v/>
      </c>
      <c r="M1134" s="6">
        <f>HYPERLINK("https://map.naver.com/p/search/반곡동 932", "지도Link")</f>
        <v/>
      </c>
      <c r="N1134" s="6">
        <f>HYPERLINK("http://www.eum.go.kr/web/ar/lu/luLandDet.jsp?pnu=3611010100109320000&amp;isNoScr=script&amp;mode=search", "토지이음")</f>
        <v/>
      </c>
      <c r="O1134" s="3" t="inlineStr">
        <is>
          <t>세종무지개</t>
        </is>
      </c>
      <c r="P1134" s="4" t="n">
        <v>1</v>
      </c>
      <c r="Q1134" s="4" t="n">
        <v>321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932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97000</v>
      </c>
      <c r="G1135" s="4" t="n">
        <v>321</v>
      </c>
      <c r="H1135" s="4" t="n">
        <v>97</v>
      </c>
      <c r="I1135" s="5" t="n">
        <v>1000</v>
      </c>
      <c r="J1135" s="5" t="n">
        <v>262.3</v>
      </c>
      <c r="K1135" s="3" t="inlineStr">
        <is>
          <t>시유지접한 코너각지 조용한위치 조율가능</t>
        </is>
      </c>
      <c r="L1135" s="6">
        <f>HYPERLINK("https://fin.land.naver.com/articles/2651085953", "매물Link")</f>
        <v/>
      </c>
      <c r="M1135" s="6">
        <f>HYPERLINK("https://map.naver.com/p/search/반곡동 932", "지도Link")</f>
        <v/>
      </c>
      <c r="N1135" s="6">
        <f>HYPERLINK("http://www.eum.go.kr/web/ar/lu/luLandDet.jsp?pnu=3611010100109320000&amp;isNoScr=script&amp;mode=search",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321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943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73000</v>
      </c>
      <c r="G1136" s="4" t="n">
        <v>350</v>
      </c>
      <c r="H1136" s="4" t="n">
        <v>106</v>
      </c>
      <c r="I1136" s="5" t="n">
        <v>688.7</v>
      </c>
      <c r="J1136" s="5" t="n">
        <v>262.3</v>
      </c>
      <c r="K1136" s="3" t="inlineStr">
        <is>
          <t>실개천옆 벙커주차장 설계가능 적극조율 협의가능</t>
        </is>
      </c>
      <c r="L1136" s="6">
        <f>HYPERLINK("https://fin.land.naver.com/articles/2655235096", "매물Link")</f>
        <v/>
      </c>
      <c r="M1136" s="6">
        <f>HYPERLINK("https://map.naver.com/p/search/반곡동 943", "지도Link")</f>
        <v/>
      </c>
      <c r="N1136" s="6">
        <f>HYPERLINK("http://www.eum.go.kr/web/ar/lu/luLandDet.jsp?pnu=3611010100109430000&amp;isNoScr=script&amp;mode=search",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350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943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73000</v>
      </c>
      <c r="G1137" s="4" t="n">
        <v>350</v>
      </c>
      <c r="H1137" s="4" t="n">
        <v>106</v>
      </c>
      <c r="I1137" s="5" t="n">
        <v>688.7</v>
      </c>
      <c r="J1137" s="5" t="n">
        <v>262.3</v>
      </c>
      <c r="K1137" s="3" t="inlineStr">
        <is>
          <t>조율가능, 벙커주차장가능, 반곡동 토지매매</t>
        </is>
      </c>
      <c r="L1137" s="6">
        <f>HYPERLINK("https://fin.land.naver.com/articles/2654690958", "매물Link")</f>
        <v/>
      </c>
      <c r="M1137" s="6">
        <f>HYPERLINK("https://map.naver.com/p/search/반곡동 943", "지도Link")</f>
        <v/>
      </c>
      <c r="N1137" s="6">
        <f>HYPERLINK("http://www.eum.go.kr/web/ar/lu/luLandDet.jsp?pnu=3611010100109430000&amp;isNoScr=script&amp;mode=search", "토지이음")</f>
        <v/>
      </c>
      <c r="O1137" s="3" t="inlineStr">
        <is>
          <t>세종무지개</t>
        </is>
      </c>
      <c r="P1137" s="4" t="n">
        <v>1</v>
      </c>
      <c r="Q1137" s="4" t="n">
        <v>350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959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88000</v>
      </c>
      <c r="G1138" s="4" t="n">
        <v>361</v>
      </c>
      <c r="H1138" s="4" t="n">
        <v>109</v>
      </c>
      <c r="I1138" s="5" t="n">
        <v>807.3</v>
      </c>
      <c r="J1138" s="5" t="n">
        <v>262.3</v>
      </c>
      <c r="K1138" s="3" t="inlineStr">
        <is>
          <t>추가조율가능 벙커주차장가능 지대높고 개인사생활최상</t>
        </is>
      </c>
      <c r="L1138" s="6">
        <f>HYPERLINK("https://fin.land.naver.com/articles/2651086630", "매물Link")</f>
        <v/>
      </c>
      <c r="M1138" s="6">
        <f>HYPERLINK("https://map.naver.com/p/search/반곡동 959", "지도Link")</f>
        <v/>
      </c>
      <c r="N1138" s="6">
        <f>HYPERLINK("http://www.eum.go.kr/web/ar/lu/luLandDet.jsp?pnu=3611010100109590000&amp;isNoScr=script&amp;mode=search", "토지이음")</f>
        <v/>
      </c>
      <c r="O1138" s="3" t="inlineStr">
        <is>
          <t>세종스타</t>
        </is>
      </c>
      <c r="P1138" s="4" t="n">
        <v>1</v>
      </c>
      <c r="Q1138" s="4" t="n">
        <v>361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962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65000</v>
      </c>
      <c r="G1139" s="4" t="n">
        <v>308</v>
      </c>
      <c r="H1139" s="4" t="n">
        <v>93</v>
      </c>
      <c r="I1139" s="5" t="n">
        <v>698.9</v>
      </c>
      <c r="J1139" s="5" t="n">
        <v>262.3</v>
      </c>
      <c r="K1139" s="3" t="inlineStr">
        <is>
          <t>산접한곳 벙커주차장가능 남향보행로접 조율가능</t>
        </is>
      </c>
      <c r="L1139" s="6">
        <f>HYPERLINK("https://fin.land.naver.com/articles/2654855867", "매물Link")</f>
        <v/>
      </c>
      <c r="M1139" s="6">
        <f>HYPERLINK("https://map.naver.com/p/search/반곡동 962", "지도Link")</f>
        <v/>
      </c>
      <c r="N1139" s="6">
        <f>HYPERLINK("http://www.eum.go.kr/web/ar/lu/luLandDet.jsp?pnu=3611010100109620000&amp;isNoScr=script&amp;mode=search", "토지이음")</f>
        <v/>
      </c>
      <c r="O1139" s="3" t="inlineStr">
        <is>
          <t>세종스타</t>
        </is>
      </c>
      <c r="P1139" s="4" t="n">
        <v>2</v>
      </c>
      <c r="Q1139" s="4" t="n">
        <v>308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963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90000</v>
      </c>
      <c r="G1140" s="4" t="n">
        <v>423</v>
      </c>
      <c r="H1140" s="4" t="n">
        <v>128</v>
      </c>
      <c r="I1140" s="5" t="n">
        <v>703.1</v>
      </c>
      <c r="J1140" s="5" t="n">
        <v>262.3</v>
      </c>
      <c r="K1140" s="3" t="inlineStr">
        <is>
          <t>넓은평수,넓은지하주차장가능,고급 단독주택지,조율가</t>
        </is>
      </c>
      <c r="L1140" s="6">
        <f>HYPERLINK("https://fin.land.naver.com/articles/2655037049", "매물Link")</f>
        <v/>
      </c>
      <c r="M1140" s="6">
        <f>HYPERLINK("https://map.naver.com/p/search/반곡동 963", "지도Link")</f>
        <v/>
      </c>
      <c r="N1140" s="6">
        <f>HYPERLINK("http://www.eum.go.kr/web/ar/lu/luLandDet.jsp?pnu=3611010100109630000&amp;isNoScr=script&amp;mode=search", "토지이음")</f>
        <v/>
      </c>
      <c r="O1140" s="3" t="inlineStr">
        <is>
          <t>세종시티</t>
        </is>
      </c>
      <c r="P1140" s="4" t="n">
        <v>1</v>
      </c>
      <c r="Q1140" s="4" t="n">
        <v>423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965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108000</v>
      </c>
      <c r="G1141" s="4" t="n">
        <v>448</v>
      </c>
      <c r="H1141" s="4" t="n">
        <v>136</v>
      </c>
      <c r="I1141" s="5" t="n">
        <v>794.1</v>
      </c>
      <c r="J1141" s="5" t="n">
        <v>262.3</v>
      </c>
      <c r="K1141" s="3" t="inlineStr">
        <is>
          <t>I 신한 I 세종 국회의사당 호재를 품은 쾌적한 숲세권 단독주택지</t>
        </is>
      </c>
      <c r="L1141" s="6">
        <f>HYPERLINK("https://fin.land.naver.com/articles/2655725763", "매물Link")</f>
        <v/>
      </c>
      <c r="M1141" s="6">
        <f>HYPERLINK("https://map.naver.com/p/search/반곡동 965", "지도Link")</f>
        <v/>
      </c>
      <c r="N1141" s="6">
        <f>HYPERLINK("http://www.eum.go.kr/web/ar/lu/luLandDet.jsp?pnu=3611010100109650000&amp;isNoScr=script&amp;mode=search", "토지이음")</f>
        <v/>
      </c>
      <c r="O1141" s="3" t="inlineStr">
        <is>
          <t>세종신한</t>
        </is>
      </c>
      <c r="P1141" s="4" t="n">
        <v>1</v>
      </c>
      <c r="Q1141" s="4" t="n">
        <v>448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979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68000</v>
      </c>
      <c r="G1142" s="4" t="n">
        <v>324</v>
      </c>
      <c r="H1142" s="4" t="n">
        <v>98</v>
      </c>
      <c r="I1142" s="5" t="n">
        <v>693.9</v>
      </c>
      <c r="J1142" s="5" t="n">
        <v>262.3</v>
      </c>
      <c r="K1142" s="3" t="inlineStr">
        <is>
          <t>반곡동 위치 좋은 단독주택, 코너입지</t>
        </is>
      </c>
      <c r="L1142" s="6">
        <f>HYPERLINK("https://fin.land.naver.com/articles/2654693607", "매물Link")</f>
        <v/>
      </c>
      <c r="M1142" s="6">
        <f>HYPERLINK("https://map.naver.com/p/search/반곡동 979", "지도Link")</f>
        <v/>
      </c>
      <c r="N1142" s="6">
        <f>HYPERLINK("http://www.eum.go.kr/web/ar/lu/luLandDet.jsp?pnu=3611010100109790000&amp;isNoScr=script&amp;mode=search", "토지이음")</f>
        <v/>
      </c>
      <c r="O1142" s="3" t="inlineStr">
        <is>
          <t>세종무지개</t>
        </is>
      </c>
      <c r="P1142" s="4" t="n">
        <v>1</v>
      </c>
      <c r="Q1142" s="4" t="n">
        <v>324.4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994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35000</v>
      </c>
      <c r="G1143" s="4" t="n">
        <v>162</v>
      </c>
      <c r="H1143" s="4" t="n">
        <v>49</v>
      </c>
      <c r="I1143" s="5" t="n">
        <v>714.3</v>
      </c>
      <c r="J1143" s="5" t="n">
        <v>262.3</v>
      </c>
      <c r="K1143" s="3" t="inlineStr">
        <is>
          <t>급매 추가조율협의가능 네모반듯 소형택지</t>
        </is>
      </c>
      <c r="L1143" s="6">
        <f>HYPERLINK("https://fin.land.naver.com/articles/2656025045", "매물Link")</f>
        <v/>
      </c>
      <c r="M1143" s="6">
        <f>HYPERLINK("https://map.naver.com/p/search/반곡동 994", "지도Link")</f>
        <v/>
      </c>
      <c r="N1143" s="6">
        <f>HYPERLINK("http://www.eum.go.kr/web/ar/lu/luLandDet.jsp?pnu=3611010100109940000&amp;isNoScr=script&amp;mode=search", "토지이음")</f>
        <v/>
      </c>
      <c r="O1143" s="3" t="inlineStr">
        <is>
          <t>세종스타</t>
        </is>
      </c>
      <c r="P1143" s="4" t="n">
        <v>2</v>
      </c>
      <c r="Q1143" s="4" t="n">
        <v>162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162-2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208600</v>
      </c>
      <c r="G1144" s="4" t="n">
        <v>1724</v>
      </c>
      <c r="H1144" s="4" t="n">
        <v>522</v>
      </c>
      <c r="I1144" s="5" t="n">
        <v>399.6</v>
      </c>
      <c r="J1144" s="5" t="n">
        <v>56.7</v>
      </c>
      <c r="K1144" s="3" t="inlineStr">
        <is>
          <t>갈산리 대도로접한 토지 매매, 세차장,타이어판매점,음식점 추천</t>
        </is>
      </c>
      <c r="L1144" s="6">
        <f>HYPERLINK("https://fin.land.naver.com/articles/2654473677", "매물Link")</f>
        <v/>
      </c>
      <c r="M1144" s="6">
        <f>HYPERLINK("https://map.naver.com/p/search/부강면 갈산리 162-2", "지도Link")</f>
        <v/>
      </c>
      <c r="N1144" s="6">
        <f>HYPERLINK("http://www.eum.go.kr/web/ar/lu/luLandDet.jsp?pnu=3611033024101620002&amp;isNoScr=script&amp;mode=search", "토지이음")</f>
        <v/>
      </c>
      <c r="O1144" s="3" t="inlineStr">
        <is>
          <t>국제</t>
        </is>
      </c>
      <c r="P1144" s="4" t="n">
        <v>1</v>
      </c>
      <c r="Q1144" s="4" t="n">
        <v>1724</v>
      </c>
      <c r="R1144" s="3" t="inlineStr">
        <is>
          <t>지정되지않음</t>
        </is>
      </c>
      <c r="S1144" s="3" t="inlineStr">
        <is>
          <t>답기타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부강면 갈산리 176-3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27000</v>
      </c>
      <c r="G1145" s="4" t="n">
        <v>494</v>
      </c>
      <c r="H1145" s="4" t="n">
        <v>149</v>
      </c>
      <c r="I1145" s="5" t="n">
        <v>181.2</v>
      </c>
      <c r="J1145" s="5" t="n">
        <v>43.4</v>
      </c>
      <c r="K1145" s="3" t="inlineStr">
        <is>
          <t>nan</t>
        </is>
      </c>
      <c r="L1145" s="6">
        <f>HYPERLINK("https://fin.land.naver.com/articles/2651704286", "매물Link")</f>
        <v/>
      </c>
      <c r="M1145" s="6">
        <f>HYPERLINK("https://map.naver.com/p/search/부강면 갈산리 176-3", "지도Link")</f>
        <v/>
      </c>
      <c r="N1145" s="6">
        <f>HYPERLINK("http://www.eum.go.kr/web/ar/lu/luLandDet.jsp?pnu=3611033024101760003&amp;isNoScr=script&amp;mode=search", "토지이음")</f>
        <v/>
      </c>
      <c r="O1145" s="3" t="inlineStr">
        <is>
          <t>장원</t>
        </is>
      </c>
      <c r="P1145" s="4" t="n">
        <v>1</v>
      </c>
      <c r="Q1145" s="4" t="n">
        <v>494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부강면 갈산리 212-1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35000</v>
      </c>
      <c r="G1146" s="4" t="n">
        <v>654</v>
      </c>
      <c r="H1146" s="4" t="n">
        <v>198</v>
      </c>
      <c r="I1146" s="5" t="n">
        <v>176.8</v>
      </c>
      <c r="J1146" s="5" t="n">
        <v>40.6</v>
      </c>
      <c r="K1146" s="3" t="inlineStr">
        <is>
          <t>수도,전기  시설물 하우스 전원주택지로 최상입니다.</t>
        </is>
      </c>
      <c r="L1146" s="6">
        <f>HYPERLINK("https://fin.land.naver.com/articles/2652967855", "매물Link")</f>
        <v/>
      </c>
      <c r="M1146" s="6">
        <f>HYPERLINK("https://map.naver.com/p/search/부강면 갈산리 212-1", "지도Link")</f>
        <v/>
      </c>
      <c r="N1146" s="6">
        <f>HYPERLINK("http://www.eum.go.kr/web/ar/lu/luLandDet.jsp?pnu=3611033024102120001&amp;isNoScr=script&amp;mode=search", "토지이음")</f>
        <v/>
      </c>
      <c r="O1146" s="3" t="inlineStr">
        <is>
          <t>강남뜰</t>
        </is>
      </c>
      <c r="P1146" s="4" t="n">
        <v>1</v>
      </c>
      <c r="Q1146" s="4" t="n">
        <v>654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세로각지(가)</t>
        </is>
      </c>
    </row>
    <row r="1147">
      <c r="A1147" s="3" t="inlineStr">
        <is>
          <t>부강면 갈산리 240-1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임야</t>
        </is>
      </c>
      <c r="E1147" s="3" t="inlineStr">
        <is>
          <t>매매</t>
        </is>
      </c>
      <c r="F1147" s="4" t="n">
        <v>1900000</v>
      </c>
      <c r="G1147" s="4" t="n">
        <v>81653</v>
      </c>
      <c r="H1147" s="4" t="n">
        <v>24700</v>
      </c>
      <c r="I1147" s="5" t="n">
        <v>76.90000000000001</v>
      </c>
      <c r="J1147" s="5" t="n">
        <v>51</v>
      </c>
      <c r="K1147" s="3" t="inlineStr">
        <is>
          <t>갈산리 복합물류단지 인접</t>
        </is>
      </c>
      <c r="L1147" s="6">
        <f>HYPERLINK("https://fin.land.naver.com/articles/2653531918", "매물Link")</f>
        <v/>
      </c>
      <c r="M1147" s="6">
        <f>HYPERLINK("https://map.naver.com/p/search/부강면 갈산리 240-1", "지도Link")</f>
        <v/>
      </c>
      <c r="N1147" s="6">
        <f>HYPERLINK("http://www.eum.go.kr/web/ar/lu/luLandDet.jsp?pnu=3611033024102400001&amp;isNoScr=script&amp;mode=search", "토지이음")</f>
        <v/>
      </c>
      <c r="O1147" s="3" t="inlineStr">
        <is>
          <t>황제</t>
        </is>
      </c>
      <c r="P1147" s="4" t="n">
        <v>1</v>
      </c>
      <c r="Q1147" s="4" t="n">
        <v>398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중로한면</t>
        </is>
      </c>
    </row>
    <row r="1148">
      <c r="A1148" s="3" t="inlineStr">
        <is>
          <t>부강면 갈산리 260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57000</v>
      </c>
      <c r="G1148" s="4" t="n">
        <v>1190</v>
      </c>
      <c r="H1148" s="4" t="n">
        <v>360</v>
      </c>
      <c r="I1148" s="5" t="n">
        <v>158.3</v>
      </c>
      <c r="J1148" s="5" t="n">
        <v>32.6</v>
      </c>
      <c r="K1148" s="3" t="inlineStr">
        <is>
          <t>청주 및 남청주ic에서 세종 진입하는 도로에 접한 광고성 좋은 토지</t>
        </is>
      </c>
      <c r="L1148" s="6">
        <f>HYPERLINK("https://fin.land.naver.com/articles/2652067827", "매물Link")</f>
        <v/>
      </c>
      <c r="M1148" s="6">
        <f>HYPERLINK("https://map.naver.com/p/search/부강면 갈산리 260", "지도Link")</f>
        <v/>
      </c>
      <c r="N1148" s="6">
        <f>HYPERLINK("http://www.eum.go.kr/web/ar/lu/luLandDet.jsp?pnu=3611033024102600000&amp;isNoScr=script&amp;mode=search", "토지이음")</f>
        <v/>
      </c>
      <c r="O1148" s="3" t="inlineStr">
        <is>
          <t>연동스카이</t>
        </is>
      </c>
      <c r="P1148" s="4" t="n">
        <v>1</v>
      </c>
      <c r="Q1148" s="4" t="n">
        <v>1190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부강면 갈산리 395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79.40000000000001</v>
      </c>
      <c r="K1149" s="3" t="inlineStr">
        <is>
          <t>남청주 ic 5분, 2차선에서 진입가능한 공장부지</t>
        </is>
      </c>
      <c r="L1149" s="6">
        <f>HYPERLINK("https://fin.land.naver.com/articles/2656001176", "매물Link")</f>
        <v/>
      </c>
      <c r="M1149" s="6">
        <f>HYPERLINK("https://map.naver.com/p/search/부강면 갈산리 395", "지도Link")</f>
        <v/>
      </c>
      <c r="N1149" s="6">
        <f>HYPERLINK("http://www.eum.go.kr/web/ar/lu/luLandDet.jsp?pnu=3611033024103950000&amp;isNoScr=script&amp;mode=search", "토지이음")</f>
        <v/>
      </c>
      <c r="O1149" s="3" t="inlineStr">
        <is>
          <t>토담</t>
        </is>
      </c>
      <c r="P1149" s="4" t="n">
        <v>1</v>
      </c>
      <c r="Q1149" s="4" t="n">
        <v>1283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395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13872</v>
      </c>
      <c r="H1150" s="4" t="n">
        <v>4196</v>
      </c>
      <c r="I1150" s="5" t="n">
        <v>150.1</v>
      </c>
      <c r="J1150" s="5" t="n">
        <v>79.40000000000001</v>
      </c>
      <c r="K1150" s="3" t="inlineStr">
        <is>
          <t>4200 남청주ic 5분 공장용지 물류센터 창고</t>
        </is>
      </c>
      <c r="L1150" s="6">
        <f>HYPERLINK("https://fin.land.naver.com/articles/2656023491", "매물Link")</f>
        <v/>
      </c>
      <c r="M1150" s="6">
        <f>HYPERLINK("https://map.naver.com/p/search/부강면 갈산리 395", "지도Link")</f>
        <v/>
      </c>
      <c r="N1150" s="6">
        <f>HYPERLINK("http://www.eum.go.kr/web/ar/lu/luLandDet.jsp?pnu=3611033024103950000&amp;isNoScr=script&amp;mode=search", "토지이음")</f>
        <v/>
      </c>
      <c r="O1150" s="3" t="inlineStr">
        <is>
          <t>반포더드림</t>
        </is>
      </c>
      <c r="P1150" s="4" t="n">
        <v>1</v>
      </c>
      <c r="Q1150" s="4" t="n">
        <v>1283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398-4</t>
        </is>
      </c>
      <c r="B1151" s="3" t="inlineStr">
        <is>
          <t>계획관리지역</t>
        </is>
      </c>
      <c r="C1151" s="3" t="inlineStr">
        <is>
          <t>공장용지</t>
        </is>
      </c>
      <c r="D1151" s="3" t="inlineStr">
        <is>
          <t>공장용지</t>
        </is>
      </c>
      <c r="E1151" s="3" t="inlineStr">
        <is>
          <t>매매</t>
        </is>
      </c>
      <c r="F1151" s="4" t="n">
        <v>630000</v>
      </c>
      <c r="G1151" s="4" t="n">
        <v>13872</v>
      </c>
      <c r="H1151" s="4" t="n">
        <v>4196</v>
      </c>
      <c r="I1151" s="5" t="n">
        <v>150.1</v>
      </c>
      <c r="J1151" s="5" t="n">
        <v>80.3</v>
      </c>
      <c r="K1151" s="3" t="inlineStr">
        <is>
          <t>갈산리 교차로에 인접하여 교통여건이 편리함</t>
        </is>
      </c>
      <c r="L1151" s="6">
        <f>HYPERLINK("https://fin.land.naver.com/articles/2653353120", "매물Link")</f>
        <v/>
      </c>
      <c r="M1151" s="6">
        <f>HYPERLINK("https://map.naver.com/p/search/부강면 갈산리 398-4", "지도Link")</f>
        <v/>
      </c>
      <c r="N1151" s="6">
        <f>HYPERLINK("http://www.eum.go.kr/web/ar/lu/luLandDet.jsp?pnu=3611033024103980004&amp;isNoScr=script&amp;mode=search", "토지이음")</f>
        <v/>
      </c>
      <c r="O1151" s="3" t="inlineStr">
        <is>
          <t>황제</t>
        </is>
      </c>
      <c r="P1151" s="4" t="n">
        <v>1</v>
      </c>
      <c r="Q1151" s="4" t="n">
        <v>7677</v>
      </c>
      <c r="R1151" s="3" t="inlineStr">
        <is>
          <t>지정되지않음</t>
        </is>
      </c>
      <c r="S1151" s="3" t="inlineStr">
        <is>
          <t>공업용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부강면 갈산리 398-4</t>
        </is>
      </c>
      <c r="B1152" s="3" t="inlineStr">
        <is>
          <t>계획관리지역</t>
        </is>
      </c>
      <c r="C1152" s="3" t="inlineStr">
        <is>
          <t>공장용지</t>
        </is>
      </c>
      <c r="D1152" s="3" t="inlineStr">
        <is>
          <t>공장용지</t>
        </is>
      </c>
      <c r="E1152" s="3" t="inlineStr">
        <is>
          <t>매매</t>
        </is>
      </c>
      <c r="F1152" s="4" t="n">
        <v>630000</v>
      </c>
      <c r="G1152" s="4" t="n">
        <v>13896</v>
      </c>
      <c r="H1152" s="4" t="n">
        <v>4204</v>
      </c>
      <c r="I1152" s="5" t="n">
        <v>149.9</v>
      </c>
      <c r="J1152" s="5" t="n">
        <v>80.3</v>
      </c>
      <c r="K1152" s="3" t="inlineStr">
        <is>
          <t>nan</t>
        </is>
      </c>
      <c r="L1152" s="6">
        <f>HYPERLINK("https://fin.land.naver.com/articles/2652010967", "매물Link")</f>
        <v/>
      </c>
      <c r="M1152" s="6">
        <f>HYPERLINK("https://map.naver.com/p/search/부강면 갈산리 398-4", "지도Link")</f>
        <v/>
      </c>
      <c r="N1152" s="6">
        <f>HYPERLINK("http://www.eum.go.kr/web/ar/lu/luLandDet.jsp?pnu=3611033024103980004&amp;isNoScr=script&amp;mode=search", "토지이음")</f>
        <v/>
      </c>
      <c r="O1152" s="3" t="inlineStr">
        <is>
          <t>오너스</t>
        </is>
      </c>
      <c r="P1152" s="4" t="n">
        <v>1</v>
      </c>
      <c r="Q1152" s="4" t="n">
        <v>7677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부강면 갈산리 산51-12</t>
        </is>
      </c>
      <c r="B1153" s="3" t="inlineStr">
        <is>
          <t>계획관리지역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32000</v>
      </c>
      <c r="G1153" s="4" t="n">
        <v>833</v>
      </c>
      <c r="H1153" s="4" t="n">
        <v>252</v>
      </c>
      <c r="I1153" s="5" t="n">
        <v>127</v>
      </c>
      <c r="J1153" s="5" t="n">
        <v>11</v>
      </c>
      <c r="K1153" s="3" t="inlineStr">
        <is>
          <t>소규모 공장이나 창고, 주차장 추천</t>
        </is>
      </c>
      <c r="L1153" s="6">
        <f>HYPERLINK("https://fin.land.naver.com/articles/2652093328", "매물Link")</f>
        <v/>
      </c>
      <c r="M1153" s="6">
        <f>HYPERLINK("https://map.naver.com/p/search/부강면 갈산리 산51-12", "지도Link")</f>
        <v/>
      </c>
      <c r="N1153" s="6">
        <f>HYPERLINK("http://www.eum.go.kr/web/ar/lu/luLandDet.jsp?pnu=3611033024200510012&amp;isNoScr=script&amp;mode=search", "토지이음")</f>
        <v/>
      </c>
      <c r="O1153" s="3" t="inlineStr">
        <is>
          <t>연동스카이</t>
        </is>
      </c>
      <c r="P1153" s="4" t="n">
        <v>1</v>
      </c>
      <c r="Q1153" s="4" t="n">
        <v>832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중로한면</t>
        </is>
      </c>
    </row>
    <row r="1154">
      <c r="A1154" s="3" t="inlineStr">
        <is>
          <t>부강면 금호리 100-5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대</t>
        </is>
      </c>
      <c r="E1154" s="3" t="inlineStr">
        <is>
          <t>매매</t>
        </is>
      </c>
      <c r="F1154" s="4" t="n">
        <v>380000</v>
      </c>
      <c r="G1154" s="4" t="n">
        <v>13605</v>
      </c>
      <c r="H1154" s="4" t="n">
        <v>4116</v>
      </c>
      <c r="I1154" s="5" t="n">
        <v>92.3</v>
      </c>
      <c r="J1154" s="5" t="n">
        <v>40.7</v>
      </c>
      <c r="K1154" s="3" t="inlineStr">
        <is>
          <t>nan</t>
        </is>
      </c>
      <c r="L1154" s="6">
        <f>HYPERLINK("https://fin.land.naver.com/articles/2651714892", "매물Link")</f>
        <v/>
      </c>
      <c r="M1154" s="6">
        <f>HYPERLINK("https://map.naver.com/p/search/부강면 금호리 100-5", "지도Link")</f>
        <v/>
      </c>
      <c r="N1154" s="6">
        <f>HYPERLINK("http://www.eum.go.kr/web/ar/lu/luLandDet.jsp?pnu=3611033028101000005&amp;isNoScr=script&amp;mode=search",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81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부강면 금호리 108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70000</v>
      </c>
      <c r="G1155" s="4" t="n">
        <v>1772</v>
      </c>
      <c r="H1155" s="4" t="n">
        <v>536</v>
      </c>
      <c r="I1155" s="5" t="n">
        <v>130.6</v>
      </c>
      <c r="J1155" s="5" t="n">
        <v>29.3</v>
      </c>
      <c r="K1155" s="3" t="inlineStr">
        <is>
          <t>금강 뷰 전망 최고 둘레길 주변 전원주택 조성중</t>
        </is>
      </c>
      <c r="L1155" s="6">
        <f>HYPERLINK("https://fin.land.naver.com/articles/2654742646", "매물Link")</f>
        <v/>
      </c>
      <c r="M1155" s="6">
        <f>HYPERLINK("https://map.naver.com/p/search/부강면 금호리 108", "지도Link")</f>
        <v/>
      </c>
      <c r="N1155" s="6">
        <f>HYPERLINK("http://www.eum.go.kr/web/ar/lu/luLandDet.jsp?pnu=3611033028101080000&amp;isNoScr=script&amp;mode=search",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1772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110</t>
        </is>
      </c>
      <c r="B1156" s="3" t="inlineStr">
        <is>
          <t>생산관리지역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22000</v>
      </c>
      <c r="G1156" s="4" t="n">
        <v>307</v>
      </c>
      <c r="H1156" s="4" t="n">
        <v>93</v>
      </c>
      <c r="I1156" s="5" t="n">
        <v>236.6</v>
      </c>
      <c r="J1156" s="5" t="n">
        <v>29.5</v>
      </c>
      <c r="K1156" s="3" t="inlineStr">
        <is>
          <t>주변토지 전원주택지 조성중 대도로 금강 인접함</t>
        </is>
      </c>
      <c r="L1156" s="6">
        <f>HYPERLINK("https://fin.land.naver.com/articles/2651904858", "매물Link")</f>
        <v/>
      </c>
      <c r="M1156" s="6">
        <f>HYPERLINK("https://map.naver.com/p/search/부강면 금호리 110", "지도Link")</f>
        <v/>
      </c>
      <c r="N1156" s="6">
        <f>HYPERLINK("http://www.eum.go.kr/web/ar/lu/luLandDet.jsp?pnu=3611033028101100000&amp;isNoScr=script&amp;mode=search", "토지이음")</f>
        <v/>
      </c>
      <c r="O1156" s="3" t="inlineStr">
        <is>
          <t>광장(프라자)</t>
        </is>
      </c>
      <c r="P1156" s="4" t="n">
        <v>1</v>
      </c>
      <c r="Q1156" s="4" t="n">
        <v>307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155-6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250000</v>
      </c>
      <c r="G1157" s="4" t="n">
        <v>4257</v>
      </c>
      <c r="H1157" s="4" t="n">
        <v>1288</v>
      </c>
      <c r="I1157" s="5" t="n">
        <v>194.1</v>
      </c>
      <c r="J1157" s="5" t="n">
        <v>42.9</v>
      </c>
      <c r="K1157" s="3" t="inlineStr">
        <is>
          <t>근생허가받은 토지. 북대전ic~ 부강 4차선 도로 예정
급매</t>
        </is>
      </c>
      <c r="L1157" s="6">
        <f>HYPERLINK("https://fin.land.naver.com/articles/2651714945", "매물Link")</f>
        <v/>
      </c>
      <c r="M1157" s="6">
        <f>HYPERLINK("https://map.naver.com/p/search/부강면 금호리 155-6", "지도Link")</f>
        <v/>
      </c>
      <c r="N1157" s="6">
        <f>HYPERLINK("http://www.eum.go.kr/web/ar/lu/luLandDet.jsp?pnu=3611033028101550006&amp;isNoScr=script&amp;mode=search",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874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157-4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120000</v>
      </c>
      <c r="G1158" s="4" t="n">
        <v>2060</v>
      </c>
      <c r="H1158" s="4" t="n">
        <v>623</v>
      </c>
      <c r="I1158" s="5" t="n">
        <v>192.6</v>
      </c>
      <c r="J1158" s="5" t="n">
        <v>42.9</v>
      </c>
      <c r="K1158" s="3" t="inlineStr">
        <is>
          <t>근생허가 받은 계획관리 토지.  뷱대전 ic 4차선 연결 도로 인근</t>
        </is>
      </c>
      <c r="L1158" s="6">
        <f>HYPERLINK("https://fin.land.naver.com/articles/2651714913", "매물Link")</f>
        <v/>
      </c>
      <c r="M1158" s="6">
        <f>HYPERLINK("https://map.naver.com/p/search/부강면 금호리 157-4", "지도Link")</f>
        <v/>
      </c>
      <c r="N1158" s="6">
        <f>HYPERLINK("http://www.eum.go.kr/web/ar/lu/luLandDet.jsp?pnu=3611033028101570004&amp;isNoScr=script&amp;mode=search",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1723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부강면 금호리 165-1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55000</v>
      </c>
      <c r="G1159" s="4" t="n">
        <v>1038</v>
      </c>
      <c r="H1159" s="4" t="n">
        <v>314</v>
      </c>
      <c r="I1159" s="5" t="n">
        <v>175.2</v>
      </c>
      <c r="J1159" s="5" t="n">
        <v>78.7</v>
      </c>
      <c r="K1159" s="3" t="inlineStr">
        <is>
          <t>급매, 단독주택 포함 매매, 총 314p</t>
        </is>
      </c>
      <c r="L1159" s="6">
        <f>HYPERLINK("https://fin.land.naver.com/articles/2651773765", "매물Link")</f>
        <v/>
      </c>
      <c r="M1159" s="6">
        <f>HYPERLINK("https://map.naver.com/p/search/부강면 금호리 165-1", "지도Link")</f>
        <v/>
      </c>
      <c r="N1159" s="6">
        <f>HYPERLINK("http://www.eum.go.kr/web/ar/lu/luLandDet.jsp?pnu=3611033028101650001&amp;isNoScr=script&amp;mode=search",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359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167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31500</v>
      </c>
      <c r="G1160" s="4" t="n">
        <v>694</v>
      </c>
      <c r="H1160" s="4" t="n">
        <v>210</v>
      </c>
      <c r="I1160" s="5" t="n">
        <v>150</v>
      </c>
      <c r="J1160" s="5" t="n">
        <v>44.2</v>
      </c>
      <c r="K1160" s="3" t="inlineStr">
        <is>
          <t>추천,   양쪽으로 차량통행 가능한 도로 접한 토지</t>
        </is>
      </c>
      <c r="L1160" s="6">
        <f>HYPERLINK("https://fin.land.naver.com/articles/2653939476", "매물Link")</f>
        <v/>
      </c>
      <c r="M1160" s="6">
        <f>HYPERLINK("https://map.naver.com/p/search/부강면 금호리 167", "지도Link")</f>
        <v/>
      </c>
      <c r="N1160" s="6">
        <f>HYPERLINK("http://www.eum.go.kr/web/ar/lu/luLandDet.jsp?pnu=3611033028101670000&amp;isNoScr=script&amp;mode=search", "토지이음")</f>
        <v/>
      </c>
      <c r="O1160" s="3" t="inlineStr">
        <is>
          <t>세종땅사랑</t>
        </is>
      </c>
      <c r="P1160" s="4" t="n">
        <v>1</v>
      </c>
      <c r="Q1160" s="4" t="n">
        <v>463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172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67000</v>
      </c>
      <c r="G1161" s="4" t="n">
        <v>797</v>
      </c>
      <c r="H1161" s="4" t="n">
        <v>241</v>
      </c>
      <c r="I1161" s="5" t="n">
        <v>278</v>
      </c>
      <c r="J1161" s="5" t="n">
        <v>78.7</v>
      </c>
      <c r="K1161" s="3" t="inlineStr">
        <is>
          <t>금강 뷰가 내려 보이는 조망 최고의 전원주택 부지. 신도심 접근성 용이</t>
        </is>
      </c>
      <c r="L1161" s="6">
        <f>HYPERLINK("https://fin.land.naver.com/articles/2652917254", "매물Link")</f>
        <v/>
      </c>
      <c r="M1161" s="6">
        <f>HYPERLINK("https://map.naver.com/p/search/부강면 금호리 172", "지도Link")</f>
        <v/>
      </c>
      <c r="N1161" s="6">
        <f>HYPERLINK("http://www.eum.go.kr/web/ar/lu/luLandDet.jsp?pnu=3611033028101720000&amp;isNoScr=script&amp;mode=search", "토지이음")</f>
        <v/>
      </c>
      <c r="O1161" s="3" t="inlineStr">
        <is>
          <t>신영</t>
        </is>
      </c>
      <c r="P1161" s="4" t="n">
        <v>1</v>
      </c>
      <c r="Q1161" s="4" t="n">
        <v>797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금호리 188-2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150000</v>
      </c>
      <c r="G1162" s="4" t="n">
        <v>3368</v>
      </c>
      <c r="H1162" s="4" t="n">
        <v>1019</v>
      </c>
      <c r="I1162" s="5" t="n">
        <v>147.2</v>
      </c>
      <c r="J1162" s="5" t="n">
        <v>38</v>
      </c>
      <c r="K1162" s="3" t="inlineStr">
        <is>
          <t>nan</t>
        </is>
      </c>
      <c r="L1162" s="6">
        <f>HYPERLINK("https://fin.land.naver.com/articles/2654051627", "매물Link")</f>
        <v/>
      </c>
      <c r="M1162" s="6">
        <f>HYPERLINK("https://map.naver.com/p/search/부강면 금호리 188-2", "지도Link")</f>
        <v/>
      </c>
      <c r="N1162" s="6">
        <f>HYPERLINK("http://www.eum.go.kr/web/ar/lu/luLandDet.jsp?pnu=3611033028101880002&amp;isNoScr=script&amp;mode=search", "토지이음")</f>
        <v/>
      </c>
      <c r="O1162" s="3" t="inlineStr">
        <is>
          <t>대박</t>
        </is>
      </c>
      <c r="P1162" s="4" t="n">
        <v>1</v>
      </c>
      <c r="Q1162" s="4" t="n">
        <v>1821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부강면 금호리 207-3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82000</v>
      </c>
      <c r="G1163" s="4" t="n">
        <v>2707</v>
      </c>
      <c r="H1163" s="4" t="n">
        <v>819</v>
      </c>
      <c r="I1163" s="5" t="n">
        <v>100.1</v>
      </c>
      <c r="J1163" s="5" t="n">
        <v>42.9</v>
      </c>
      <c r="K1163" s="3" t="inlineStr">
        <is>
          <t>계획관리 답. 4미터 도로 접. 부강일반산단 옆</t>
        </is>
      </c>
      <c r="L1163" s="6">
        <f>HYPERLINK("https://fin.land.naver.com/articles/2654261924", "매물Link")</f>
        <v/>
      </c>
      <c r="M1163" s="6">
        <f>HYPERLINK("https://map.naver.com/p/search/부강면 금호리 207-3", "지도Link")</f>
        <v/>
      </c>
      <c r="N1163" s="6">
        <f>HYPERLINK("http://www.eum.go.kr/web/ar/lu/luLandDet.jsp?pnu=3611033028102070003&amp;isNoScr=script&amp;mode=search", "토지이음")</f>
        <v/>
      </c>
      <c r="O1163" s="3" t="inlineStr">
        <is>
          <t>미스터홈즈강남지사</t>
        </is>
      </c>
      <c r="P1163" s="4" t="n">
        <v>2</v>
      </c>
      <c r="Q1163" s="4" t="n">
        <v>2707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금호리 234-5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109000</v>
      </c>
      <c r="G1164" s="4" t="n">
        <v>939</v>
      </c>
      <c r="H1164" s="4" t="n">
        <v>284</v>
      </c>
      <c r="I1164" s="5" t="n">
        <v>383.8</v>
      </c>
      <c r="J1164" s="5" t="n">
        <v>89.90000000000001</v>
      </c>
      <c r="K1164" s="3" t="inlineStr">
        <is>
          <t>인테리어 걱정 없는 완벽한 카페 건물 및 조경 포함</t>
        </is>
      </c>
      <c r="L1164" s="6">
        <f>HYPERLINK("https://fin.land.naver.com/articles/2650931748", "매물Link")</f>
        <v/>
      </c>
      <c r="M1164" s="6">
        <f>HYPERLINK("https://map.naver.com/p/search/부강면 금호리 234-5", "지도Link")</f>
        <v/>
      </c>
      <c r="N1164" s="6">
        <f>HYPERLINK("http://www.eum.go.kr/web/ar/lu/luLandDet.jsp?pnu=3611033028102340005&amp;isNoScr=script&amp;mode=search", "토지이음")</f>
        <v/>
      </c>
      <c r="O1164" s="3" t="inlineStr">
        <is>
          <t>하임</t>
        </is>
      </c>
      <c r="P1164" s="4" t="n">
        <v>1</v>
      </c>
      <c r="Q1164" s="4" t="n">
        <v>939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금호리 240-10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82500</v>
      </c>
      <c r="G1165" s="4" t="n">
        <v>819</v>
      </c>
      <c r="H1165" s="4" t="n">
        <v>248</v>
      </c>
      <c r="I1165" s="5" t="n">
        <v>332.7</v>
      </c>
      <c r="J1165" s="5" t="n">
        <v>59.7</v>
      </c>
      <c r="K1165" s="3" t="inlineStr">
        <is>
          <t>계획관리지역. 성장관리계획구역. 기존산업단지와 연결되는 인접 토지 매매</t>
        </is>
      </c>
      <c r="L1165" s="6">
        <f>HYPERLINK("https://fin.land.naver.com/articles/2654068216", "매물Link")</f>
        <v/>
      </c>
      <c r="M1165" s="6">
        <f>HYPERLINK("https://map.naver.com/p/search/부강면 금호리 240-10", "지도Link")</f>
        <v/>
      </c>
      <c r="N1165" s="6">
        <f>HYPERLINK("http://www.eum.go.kr/web/ar/lu/luLandDet.jsp?pnu=3611033028102400010&amp;isNoScr=script&amp;mode=search", "토지이음")</f>
        <v/>
      </c>
      <c r="O1165" s="3" t="inlineStr">
        <is>
          <t>진행</t>
        </is>
      </c>
      <c r="P1165" s="4" t="n">
        <v>1</v>
      </c>
      <c r="Q1165" s="4" t="n">
        <v>819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30-2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210000</v>
      </c>
      <c r="G1166" s="4" t="n">
        <v>4328</v>
      </c>
      <c r="H1166" s="4" t="n">
        <v>1309</v>
      </c>
      <c r="I1166" s="5" t="n">
        <v>160.4</v>
      </c>
      <c r="J1166" s="5" t="n">
        <v>80.7</v>
      </c>
      <c r="K1166" s="3" t="inlineStr">
        <is>
          <t>공장용지로 지리적위치 접근성이좋고 산업폐기물 인.허가 득하여 투자성이좋음</t>
        </is>
      </c>
      <c r="L1166" s="6">
        <f>HYPERLINK("https://fin.land.naver.com/articles/2656189438", "매물Link")</f>
        <v/>
      </c>
      <c r="M1166" s="6">
        <f>HYPERLINK("https://map.naver.com/p/search/부강면 금호리 30-2", "지도Link")</f>
        <v/>
      </c>
      <c r="N1166" s="6">
        <f>HYPERLINK("http://www.eum.go.kr/web/ar/lu/luLandDet.jsp?pnu=3611033028100300002&amp;isNoScr=script&amp;mode=search", "토지이음")</f>
        <v/>
      </c>
      <c r="O1166" s="3" t="inlineStr">
        <is>
          <t>오투그린1</t>
        </is>
      </c>
      <c r="P1166" s="4" t="n">
        <v>1</v>
      </c>
      <c r="Q1166" s="4" t="n">
        <v>4328</v>
      </c>
      <c r="R1166" s="3" t="inlineStr">
        <is>
          <t>지정되지않음</t>
        </is>
      </c>
      <c r="S1166" s="3" t="inlineStr">
        <is>
          <t>공업기타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금호리 353-2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26800</v>
      </c>
      <c r="G1167" s="4" t="n">
        <v>1362</v>
      </c>
      <c r="H1167" s="4" t="n">
        <v>412</v>
      </c>
      <c r="I1167" s="5" t="n">
        <v>65</v>
      </c>
      <c r="J1167" s="5" t="n">
        <v>5.3</v>
      </c>
      <c r="K1167" s="3" t="inlineStr">
        <is>
          <t>세종시5분 금강변의 햇볕 잘 드는 토지</t>
        </is>
      </c>
      <c r="L1167" s="6">
        <f>HYPERLINK("https://fin.land.naver.com/articles/2653852269", "매물Link")</f>
        <v/>
      </c>
      <c r="M1167" s="6">
        <f>HYPERLINK("https://map.naver.com/p/search/부강면 금호리 353-2", "지도Link")</f>
        <v/>
      </c>
      <c r="N1167" s="6">
        <f>HYPERLINK("http://www.eum.go.kr/web/ar/lu/luLandDet.jsp?pnu=3611033028103530002&amp;isNoScr=script&amp;mode=search", "토지이음")</f>
        <v/>
      </c>
      <c r="O1167" s="3" t="inlineStr">
        <is>
          <t>천억사사무소</t>
        </is>
      </c>
      <c r="P1167" s="4" t="n">
        <v>1</v>
      </c>
      <c r="Q1167" s="4" t="n">
        <v>1806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60000</v>
      </c>
      <c r="G1168" s="4" t="n">
        <v>995</v>
      </c>
      <c r="H1168" s="4" t="n">
        <v>301</v>
      </c>
      <c r="I1168" s="5" t="n">
        <v>199.3</v>
      </c>
      <c r="J1168" s="5" t="n">
        <v>5.2</v>
      </c>
      <c r="K1168" s="3" t="inlineStr">
        <is>
          <t>건축허가 되어 있고 수도 오수 시설도 완비됨 전원주택지로 적합</t>
        </is>
      </c>
      <c r="L1168" s="6">
        <f>HYPERLINK("https://fin.land.naver.com/articles/2655731757",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도램마을</t>
        </is>
      </c>
      <c r="P1168" s="4" t="n">
        <v>2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358-4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25000</v>
      </c>
      <c r="G1169" s="4" t="n">
        <v>1263</v>
      </c>
      <c r="H1169" s="4" t="n">
        <v>382</v>
      </c>
      <c r="I1169" s="5" t="n">
        <v>65.40000000000001</v>
      </c>
      <c r="J1169" s="5" t="n">
        <v>5.2</v>
      </c>
      <c r="K1169" s="3" t="inlineStr">
        <is>
          <t>즉시 신축 가능 매매 급매물 상.하수도 전기 기반공사 완료돼있고 건축허가</t>
        </is>
      </c>
      <c r="L1169" s="6">
        <f>HYPERLINK("https://fin.land.naver.com/articles/2654190350", "매물Link")</f>
        <v/>
      </c>
      <c r="M1169" s="6">
        <f>HYPERLINK("https://map.naver.com/p/search/부강면 금호리 358-4", "지도Link")</f>
        <v/>
      </c>
      <c r="N1169" s="6">
        <f>HYPERLINK("http://www.eum.go.kr/web/ar/lu/luLandDet.jsp?pnu=3611033028103580004&amp;isNoScr=script&amp;mode=search", "토지이음")</f>
        <v/>
      </c>
      <c r="O1169" s="3" t="inlineStr">
        <is>
          <t>세종시삼성래미안</t>
        </is>
      </c>
      <c r="P1169" s="4" t="n">
        <v>1</v>
      </c>
      <c r="Q1169" s="4" t="n">
        <v>995</v>
      </c>
      <c r="R1169" s="3" t="inlineStr">
        <is>
          <t>지정되지않음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정방형</t>
        </is>
      </c>
      <c r="V1169" s="3" t="inlineStr">
        <is>
          <t>맹지</t>
        </is>
      </c>
    </row>
    <row r="1170">
      <c r="A1170" s="3" t="inlineStr">
        <is>
          <t>부강면 금호리 377-8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49000</v>
      </c>
      <c r="G1170" s="4" t="n">
        <v>648</v>
      </c>
      <c r="H1170" s="4" t="n">
        <v>196</v>
      </c>
      <c r="I1170" s="5" t="n">
        <v>250</v>
      </c>
      <c r="J1170" s="5" t="n">
        <v>79.90000000000001</v>
      </c>
      <c r="K1170" s="3" t="inlineStr">
        <is>
          <t>계획관리지역 나대지로 투자가치 양호함.</t>
        </is>
      </c>
      <c r="L1170" s="6">
        <f>HYPERLINK("https://fin.land.naver.com/articles/2652853734", "매물Link")</f>
        <v/>
      </c>
      <c r="M1170" s="6">
        <f>HYPERLINK("https://map.naver.com/p/search/부강면 금호리 377-8", "지도Link")</f>
        <v/>
      </c>
      <c r="N1170" s="6">
        <f>HYPERLINK("http://www.eum.go.kr/web/ar/lu/luLandDet.jsp?pnu=3611033028103770008&amp;isNoScr=script&amp;mode=search", "토지이음")</f>
        <v/>
      </c>
      <c r="O1170" s="3" t="inlineStr">
        <is>
          <t>다정현대</t>
        </is>
      </c>
      <c r="P1170" s="4" t="n">
        <v>1</v>
      </c>
      <c r="Q1170" s="4" t="n">
        <v>390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부강면 금호리 389-1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79.90000000000001</v>
      </c>
      <c r="K1171" s="3" t="inlineStr">
        <is>
          <t>도로접한 모양좋은 토지, 카페나, 식당, 주택지로도 좋음</t>
        </is>
      </c>
      <c r="L1171" s="6">
        <f>HYPERLINK("https://fin.land.naver.com/articles/2652042892", "매물Link")</f>
        <v/>
      </c>
      <c r="M1171" s="6">
        <f>HYPERLINK("https://map.naver.com/p/search/부강면 금호리 389-1", "지도Link")</f>
        <v/>
      </c>
      <c r="N1171" s="6">
        <f>HYPERLINK("http://www.eum.go.kr/web/ar/lu/luLandDet.jsp?pnu=3611033028103890001&amp;isNoScr=script&amp;mode=search",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662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389-10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194000</v>
      </c>
      <c r="G1172" s="4" t="n">
        <v>1941</v>
      </c>
      <c r="H1172" s="4" t="n">
        <v>587</v>
      </c>
      <c r="I1172" s="5" t="n">
        <v>330.5</v>
      </c>
      <c r="J1172" s="5" t="n">
        <v>79.09999999999999</v>
      </c>
      <c r="K1172" s="3" t="inlineStr">
        <is>
          <t>도로접하고 부강일반사업단지근교, 남i주10분이내,사옥,공장물류창고 적합.</t>
        </is>
      </c>
      <c r="L1172" s="6">
        <f>HYPERLINK("https://fin.land.naver.com/articles/2651044965", "매물Link")</f>
        <v/>
      </c>
      <c r="M1172" s="6">
        <f>HYPERLINK("https://map.naver.com/p/search/부강면 금호리 389-10", "지도Link")</f>
        <v/>
      </c>
      <c r="N1172" s="6">
        <f>HYPERLINK("http://www.eum.go.kr/web/ar/lu/luLandDet.jsp?pnu=3611033028103890010&amp;isNoScr=script&amp;mode=search",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656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112000</v>
      </c>
      <c r="G1173" s="4" t="n">
        <v>1058</v>
      </c>
      <c r="H1173" s="4" t="n">
        <v>320</v>
      </c>
      <c r="I1173" s="5" t="n">
        <v>350</v>
      </c>
      <c r="J1173" s="5" t="n">
        <v>53.4</v>
      </c>
      <c r="K1173" s="3" t="inlineStr">
        <is>
          <t>정남향 도로접한 계획관리.성장관리지역 알토란 토지,가격조정가능</t>
        </is>
      </c>
      <c r="L1173" s="6">
        <f>HYPERLINK("https://fin.land.naver.com/articles/2655576973",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고운맘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55000</v>
      </c>
      <c r="G1174" s="4" t="n">
        <v>529</v>
      </c>
      <c r="H1174" s="4" t="n">
        <v>160</v>
      </c>
      <c r="I1174" s="5" t="n">
        <v>343.8</v>
      </c>
      <c r="J1174" s="5" t="n">
        <v>53.4</v>
      </c>
      <c r="K1174" s="3" t="inlineStr">
        <is>
          <t>세종 행복도시 43생활권 차로 7분10분대,연접토지동시매매가능</t>
        </is>
      </c>
      <c r="L1174" s="6">
        <f>HYPERLINK("https://fin.land.naver.com/articles/2653999798",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구암양지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389-6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160000</v>
      </c>
      <c r="G1175" s="4" t="n">
        <v>1058</v>
      </c>
      <c r="H1175" s="4" t="n">
        <v>320</v>
      </c>
      <c r="I1175" s="5" t="n">
        <v>500</v>
      </c>
      <c r="J1175" s="5" t="n">
        <v>53.4</v>
      </c>
      <c r="K1175" s="3" t="inlineStr">
        <is>
          <t>현재 전으로 사용중 두필지 전원주택분양 좋음, 사업용사용가능창고,사옥공장</t>
        </is>
      </c>
      <c r="L1175" s="6">
        <f>HYPERLINK("https://fin.land.naver.com/articles/2651044105", "매물Link")</f>
        <v/>
      </c>
      <c r="M1175" s="6">
        <f>HYPERLINK("https://map.naver.com/p/search/부강면 금호리 389-6", "지도Link")</f>
        <v/>
      </c>
      <c r="N1175" s="6">
        <f>HYPERLINK("http://www.eum.go.kr/web/ar/lu/luLandDet.jsp?pnu=3611033028103890006&amp;isNoScr=script&amp;mode=search", "토지이음")</f>
        <v/>
      </c>
      <c r="O1175" s="3" t="inlineStr">
        <is>
          <t>원내</t>
        </is>
      </c>
      <c r="P1175" s="4" t="n">
        <v>1</v>
      </c>
      <c r="Q1175" s="4" t="n">
        <v>529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금호리 436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1957</v>
      </c>
      <c r="H1176" s="4" t="n">
        <v>592</v>
      </c>
      <c r="I1176" s="5" t="n">
        <v>199.3</v>
      </c>
      <c r="J1176" s="5" t="n">
        <v>36</v>
      </c>
      <c r="K1176" s="3" t="inlineStr">
        <is>
          <t>도로인접, 부용농공단지인근, 생산관리지역, 답</t>
        </is>
      </c>
      <c r="L1176" s="6">
        <f>HYPERLINK("https://fin.land.naver.com/articles/2653055028", "매물Link")</f>
        <v/>
      </c>
      <c r="M1176" s="6">
        <f>HYPERLINK("https://map.naver.com/p/search/부강면 금호리 436", "지도Link")</f>
        <v/>
      </c>
      <c r="N1176" s="6">
        <f>HYPERLINK("http://www.eum.go.kr/web/ar/lu/luLandDet.jsp?pnu=3611033028104360000&amp;isNoScr=script&amp;mode=search", "토지이음")</f>
        <v/>
      </c>
      <c r="O1176" s="3" t="inlineStr">
        <is>
          <t>Home</t>
        </is>
      </c>
      <c r="P1176" s="4" t="n">
        <v>1</v>
      </c>
      <c r="Q1176" s="4" t="n">
        <v>1957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가로장방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남향의 반듯한 계획관리 토지. 투자용추천</t>
        </is>
      </c>
      <c r="L1177" s="6">
        <f>HYPERLINK("https://fin.land.naver.com/articles/2653462486",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세종금밭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442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62000</v>
      </c>
      <c r="G1178" s="4" t="n">
        <v>1649</v>
      </c>
      <c r="H1178" s="4" t="n">
        <v>499</v>
      </c>
      <c r="I1178" s="5" t="n">
        <v>124.2</v>
      </c>
      <c r="J1178" s="5" t="n">
        <v>50.7</v>
      </c>
      <c r="K1178" s="3" t="inlineStr">
        <is>
          <t>금강변 부강금호로 인접, 약2km거리 철도 매포역과 부강생활체육공원 있음</t>
        </is>
      </c>
      <c r="L1178" s="6">
        <f>HYPERLINK("https://fin.land.naver.com/articles/2656258080", "매물Link")</f>
        <v/>
      </c>
      <c r="M1178" s="6">
        <f>HYPERLINK("https://map.naver.com/p/search/부강면 금호리 442", "지도Link")</f>
        <v/>
      </c>
      <c r="N1178" s="6">
        <f>HYPERLINK("http://www.eum.go.kr/web/ar/lu/luLandDet.jsp?pnu=3611033028104420000&amp;isNoScr=script&amp;mode=search", "토지이음")</f>
        <v/>
      </c>
      <c r="O1178" s="3" t="inlineStr">
        <is>
          <t>월평랜드</t>
        </is>
      </c>
      <c r="P1178" s="4" t="n">
        <v>1</v>
      </c>
      <c r="Q1178" s="4" t="n">
        <v>1649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50000</v>
      </c>
      <c r="G1179" s="4" t="n">
        <v>679</v>
      </c>
      <c r="H1179" s="4" t="n">
        <v>205</v>
      </c>
      <c r="I1179" s="5" t="n">
        <v>243.9</v>
      </c>
      <c r="J1179" s="5" t="n">
        <v>88</v>
      </c>
      <c r="K1179" s="3" t="inlineStr">
        <is>
          <t>주택, 텃밭, 카페 추천</t>
        </is>
      </c>
      <c r="L1179" s="6">
        <f>HYPERLINK("https://fin.land.naver.com/articles/2653353132", "매물Link")</f>
        <v/>
      </c>
      <c r="M1179" s="6">
        <f>HYPERLINK("https://map.naver.com/p/search/부강면 금호리 613", "지도Link")</f>
        <v/>
      </c>
      <c r="N1179" s="6">
        <f>HYPERLINK("http://www.eum.go.kr/web/ar/lu/luLandDet.jsp?pnu=3611033028106130000&amp;isNoScr=script&amp;mode=search", "토지이음")</f>
        <v/>
      </c>
      <c r="O1179" s="3" t="inlineStr">
        <is>
          <t>황제</t>
        </is>
      </c>
      <c r="P1179" s="4" t="n">
        <v>1</v>
      </c>
      <c r="Q1179" s="4" t="n">
        <v>679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614-1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180000</v>
      </c>
      <c r="G1180" s="4" t="n">
        <v>7235</v>
      </c>
      <c r="H1180" s="4" t="n">
        <v>2189</v>
      </c>
      <c r="I1180" s="5" t="n">
        <v>82.2</v>
      </c>
      <c r="J1180" s="5" t="n">
        <v>4.9</v>
      </c>
      <c r="K1180" s="3" t="inlineStr">
        <is>
          <t>개발가능한 임야</t>
        </is>
      </c>
      <c r="L1180" s="6">
        <f>HYPERLINK("https://fin.land.naver.com/articles/2653365134", "매물Link")</f>
        <v/>
      </c>
      <c r="M1180" s="6">
        <f>HYPERLINK("https://map.naver.com/p/search/부강면 금호리 614-1", "지도Link")</f>
        <v/>
      </c>
      <c r="N1180" s="6">
        <f>HYPERLINK("http://www.eum.go.kr/web/ar/lu/luLandDet.jsp?pnu=3611033028106140001&amp;isNoScr=script&amp;mode=search", "토지이음")</f>
        <v/>
      </c>
      <c r="O1180" s="3" t="inlineStr">
        <is>
          <t>골든타임</t>
        </is>
      </c>
      <c r="P1180" s="4" t="n">
        <v>1</v>
      </c>
      <c r="Q1180" s="4" t="n">
        <v>6576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649-2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94000</v>
      </c>
      <c r="G1181" s="4" t="n">
        <v>1111</v>
      </c>
      <c r="H1181" s="4" t="n">
        <v>336</v>
      </c>
      <c r="I1181" s="5" t="n">
        <v>279.8</v>
      </c>
      <c r="J1181" s="5" t="n">
        <v>85.59999999999999</v>
      </c>
      <c r="K1181" s="3" t="inlineStr">
        <is>
          <t>부강 산단 초입 계획관리 토지</t>
        </is>
      </c>
      <c r="L1181" s="6">
        <f>HYPERLINK("https://fin.land.naver.com/articles/2653362507", "매물Link")</f>
        <v/>
      </c>
      <c r="M1181" s="6">
        <f>HYPERLINK("https://map.naver.com/p/search/부강면 금호리 649-2", "지도Link")</f>
        <v/>
      </c>
      <c r="N1181" s="6">
        <f>HYPERLINK("http://www.eum.go.kr/web/ar/lu/luLandDet.jsp?pnu=3611033028106490002&amp;isNoScr=script&amp;mode=search",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1111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남청주IC 자동차로 약17분거리10km</t>
        </is>
      </c>
      <c r="L1184" s="6">
        <f>HYPERLINK("https://fin.land.naver.com/articles/2654666500",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지장고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계획관리자연취락 대지 및 기존주택, 산단세종오송 접근 우수</t>
        </is>
      </c>
      <c r="L1185" s="6">
        <f>HYPERLINK("https://fin.land.naver.com/articles/2650898603",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725-10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28000</v>
      </c>
      <c r="G1186" s="4" t="n">
        <v>572</v>
      </c>
      <c r="H1186" s="4" t="n">
        <v>173</v>
      </c>
      <c r="I1186" s="5" t="n">
        <v>161.8</v>
      </c>
      <c r="J1186" s="5" t="n">
        <v>65.3</v>
      </c>
      <c r="K1186" s="3" t="inlineStr">
        <is>
          <t>3면이 도로이면,금강과 직선거리 200M입니다,투자용으로도 최적입니다</t>
        </is>
      </c>
      <c r="L1186" s="6">
        <f>HYPERLINK("https://fin.land.naver.com/articles/2656426413", "매물Link")</f>
        <v/>
      </c>
      <c r="M1186" s="6">
        <f>HYPERLINK("https://map.naver.com/p/search/부강면 금호리 725-10", "지도Link")</f>
        <v/>
      </c>
      <c r="N1186" s="6">
        <f>HYPERLINK("http://www.eum.go.kr/web/ar/lu/luLandDet.jsp?pnu=3611033028107250010&amp;isNoScr=script&amp;mode=search",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361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금호리 산10-1</t>
        </is>
      </c>
      <c r="B1187" s="3" t="inlineStr">
        <is>
          <t>생산관리지역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30000</v>
      </c>
      <c r="G1187" s="4" t="n">
        <v>992</v>
      </c>
      <c r="H1187" s="4" t="n">
        <v>300</v>
      </c>
      <c r="I1187" s="5" t="n">
        <v>100</v>
      </c>
      <c r="J1187" s="5" t="n">
        <v>5.4</v>
      </c>
      <c r="K1187" s="3" t="inlineStr">
        <is>
          <t>nan</t>
        </is>
      </c>
      <c r="L1187" s="6">
        <f>HYPERLINK("https://fin.land.naver.com/articles/2651583522", "매물Link")</f>
        <v/>
      </c>
      <c r="M1187" s="6">
        <f>HYPERLINK("https://map.naver.com/p/search/부강면 금호리 산10-1", "지도Link")</f>
        <v/>
      </c>
      <c r="N1187" s="6">
        <f>HYPERLINK("http://www.eum.go.kr/web/ar/lu/luLandDet.jsp?pnu=3611033028200100001&amp;isNoScr=script&amp;mode=search", "토지이음")</f>
        <v/>
      </c>
      <c r="O1187" s="3" t="inlineStr">
        <is>
          <t>세종몽땅</t>
        </is>
      </c>
      <c r="P1187" s="4" t="n">
        <v>1</v>
      </c>
      <c r="Q1187" s="4" t="n">
        <v>992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맹지</t>
        </is>
      </c>
    </row>
    <row r="1188">
      <c r="A1188" s="3" t="inlineStr">
        <is>
          <t>부강면 금호리 산46-4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65000</v>
      </c>
      <c r="G1188" s="4" t="n">
        <v>4247</v>
      </c>
      <c r="H1188" s="4" t="n">
        <v>1285</v>
      </c>
      <c r="I1188" s="5" t="n">
        <v>50.6</v>
      </c>
      <c r="J1188" s="5" t="n">
        <v>6</v>
      </c>
      <c r="K1188" s="3" t="inlineStr">
        <is>
          <t>부강면 금호리는 4생활권에서 5분거리, 금호교건너면 바로앞 금강임.</t>
        </is>
      </c>
      <c r="L1188" s="6">
        <f>HYPERLINK("https://fin.land.naver.com/articles/2653348907", "매물Link")</f>
        <v/>
      </c>
      <c r="M1188" s="6">
        <f>HYPERLINK("https://map.naver.com/p/search/부강면 금호리 산46-4", "지도Link")</f>
        <v/>
      </c>
      <c r="N1188" s="6">
        <f>HYPERLINK("http://www.eum.go.kr/web/ar/lu/luLandDet.jsp?pnu=3611033028200460004&amp;isNoScr=script&amp;mode=search", "토지이음")</f>
        <v/>
      </c>
      <c r="O1188" s="3" t="inlineStr">
        <is>
          <t>꿈드림</t>
        </is>
      </c>
      <c r="P1188" s="4" t="n">
        <v>1</v>
      </c>
      <c r="Q1188" s="4" t="n">
        <v>1653</v>
      </c>
      <c r="R1188" s="3" t="inlineStr">
        <is>
          <t>계획관리지역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부강면 금호리 산5</t>
        </is>
      </c>
      <c r="B1189" s="3" t="inlineStr">
        <is>
          <t>생산관리지역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250000</v>
      </c>
      <c r="G1189" s="4" t="n">
        <v>11846</v>
      </c>
      <c r="H1189" s="4" t="n">
        <v>3583</v>
      </c>
      <c r="I1189" s="5" t="n">
        <v>69.8</v>
      </c>
      <c r="J1189" s="5" t="n">
        <v>3.6</v>
      </c>
      <c r="K1189" s="3" t="inlineStr">
        <is>
          <t>nan</t>
        </is>
      </c>
      <c r="L1189" s="6">
        <f>HYPERLINK("https://fin.land.naver.com/articles/2651714956", "매물Link")</f>
        <v/>
      </c>
      <c r="M1189" s="6">
        <f>HYPERLINK("https://map.naver.com/p/search/부강면 금호리 산5", "지도Link")</f>
        <v/>
      </c>
      <c r="N1189" s="6">
        <f>HYPERLINK("http://www.eum.go.kr/web/ar/lu/luLandDet.jsp?pnu=3611033028200050000&amp;isNoScr=script&amp;mode=search", "토지이음")</f>
        <v/>
      </c>
      <c r="O1189" s="3" t="inlineStr">
        <is>
          <t>이레</t>
        </is>
      </c>
      <c r="P1189" s="4" t="n">
        <v>1</v>
      </c>
      <c r="Q1189" s="4" t="n">
        <v>11603</v>
      </c>
      <c r="R1189" s="3" t="inlineStr">
        <is>
          <t>지정되지않음</t>
        </is>
      </c>
      <c r="S1189" s="3" t="inlineStr">
        <is>
          <t>자연림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노호리 24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250000</v>
      </c>
      <c r="G1190" s="4" t="n">
        <v>13113</v>
      </c>
      <c r="H1190" s="4" t="n">
        <v>3967</v>
      </c>
      <c r="I1190" s="5" t="n">
        <v>63</v>
      </c>
      <c r="J1190" s="5" t="n">
        <v>23.2</v>
      </c>
      <c r="K1190" s="3" t="inlineStr">
        <is>
          <t>공장,창고 건축 가능, 도로 접함</t>
        </is>
      </c>
      <c r="L1190" s="6">
        <f>HYPERLINK("https://fin.land.naver.com/articles/2654441939", "매물Link")</f>
        <v/>
      </c>
      <c r="M1190" s="6">
        <f>HYPERLINK("https://map.naver.com/p/search/부강면 노호리 24", "지도Link")</f>
        <v/>
      </c>
      <c r="N1190" s="6">
        <f>HYPERLINK("http://www.eum.go.kr/web/ar/lu/luLandDet.jsp?pnu=3611033027100240000&amp;isNoScr=script&amp;mode=search", "토지이음")</f>
        <v/>
      </c>
      <c r="O1190" s="3" t="inlineStr">
        <is>
          <t>나릿재슬기로운</t>
        </is>
      </c>
      <c r="P1190" s="4" t="n">
        <v>1</v>
      </c>
      <c r="Q1190" s="4" t="n">
        <v>2278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노호리 287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38400</v>
      </c>
      <c r="G1191" s="4" t="n">
        <v>2118</v>
      </c>
      <c r="H1191" s="4" t="n">
        <v>641</v>
      </c>
      <c r="I1191" s="5" t="n">
        <v>59.9</v>
      </c>
      <c r="J1191" s="5" t="n">
        <v>21.8</v>
      </c>
      <c r="K1191" s="3" t="inlineStr">
        <is>
          <t>세종특별자치시 부강면 노호리 계획관리지역 답 2118㎡ 토지매매</t>
        </is>
      </c>
      <c r="L1191" s="6">
        <f>HYPERLINK("https://fin.land.naver.com/articles/2654694533", "매물Link")</f>
        <v/>
      </c>
      <c r="M1191" s="6">
        <f>HYPERLINK("https://map.naver.com/p/search/부강면 노호리 287", "지도Link")</f>
        <v/>
      </c>
      <c r="N1191" s="6">
        <f>HYPERLINK("http://www.eum.go.kr/web/ar/lu/luLandDet.jsp?pnu=3611033027102870000&amp;isNoScr=script&amp;mode=search", "토지이음")</f>
        <v/>
      </c>
      <c r="O1191" s="3" t="inlineStr">
        <is>
          <t>진행</t>
        </is>
      </c>
      <c r="P1191" s="4" t="n">
        <v>1</v>
      </c>
      <c r="Q1191" s="4" t="n">
        <v>2118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노호리 297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23000</v>
      </c>
      <c r="G1192" s="4" t="n">
        <v>1302</v>
      </c>
      <c r="H1192" s="4" t="n">
        <v>394</v>
      </c>
      <c r="I1192" s="5" t="n">
        <v>58.4</v>
      </c>
      <c r="J1192" s="5" t="n">
        <v>21.4</v>
      </c>
      <c r="K1192" s="3" t="inlineStr">
        <is>
          <t>계획관리 정남향의 토지 전원주택부지로 적극추천 주말농장하면서 투자로</t>
        </is>
      </c>
      <c r="L1192" s="6">
        <f>HYPERLINK("https://fin.land.naver.com/articles/2654893808", "매물Link")</f>
        <v/>
      </c>
      <c r="M1192" s="6">
        <f>HYPERLINK("https://map.naver.com/p/search/부강면 노호리 297", "지도Link")</f>
        <v/>
      </c>
      <c r="N1192" s="6">
        <f>HYPERLINK("http://www.eum.go.kr/web/ar/lu/luLandDet.jsp?pnu=3611033027102970000&amp;isNoScr=script&amp;mode=search", "토지이음")</f>
        <v/>
      </c>
      <c r="O1192" s="3" t="inlineStr">
        <is>
          <t>대전토지로무소</t>
        </is>
      </c>
      <c r="P1192" s="4" t="n">
        <v>1</v>
      </c>
      <c r="Q1192" s="4" t="n">
        <v>1302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부강면 노호리 334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155000</v>
      </c>
      <c r="G1193" s="4" t="n">
        <v>3254</v>
      </c>
      <c r="H1193" s="4" t="n">
        <v>984</v>
      </c>
      <c r="I1193" s="5" t="n">
        <v>157.5</v>
      </c>
      <c r="J1193" s="5" t="n">
        <v>40.6</v>
      </c>
      <c r="K1193" s="3" t="inlineStr">
        <is>
          <t>세종 인근 접근성 좋은 부강면 노호리 전원주택지 매매,남향</t>
        </is>
      </c>
      <c r="L1193" s="6">
        <f>HYPERLINK("https://fin.land.naver.com/articles/2654696960", "매물Link")</f>
        <v/>
      </c>
      <c r="M1193" s="6">
        <f>HYPERLINK("https://map.naver.com/p/search/부강면 노호리 334", "지도Link")</f>
        <v/>
      </c>
      <c r="N1193" s="6">
        <f>HYPERLINK("http://www.eum.go.kr/web/ar/lu/luLandDet.jsp?pnu=3611033027103340000&amp;isNoScr=script&amp;mode=search", "토지이음")</f>
        <v/>
      </c>
      <c r="O1193" s="3" t="inlineStr">
        <is>
          <t>천재원</t>
        </is>
      </c>
      <c r="P1193" s="4" t="n">
        <v>1</v>
      </c>
      <c r="Q1193" s="4" t="n">
        <v>939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71200</v>
      </c>
      <c r="G1194" s="4" t="n">
        <v>3920</v>
      </c>
      <c r="H1194" s="4" t="n">
        <v>1186</v>
      </c>
      <c r="I1194" s="5" t="n">
        <v>60</v>
      </c>
      <c r="J1194" s="5" t="n">
        <v>25.8</v>
      </c>
      <c r="K1194" s="3" t="inlineStr">
        <is>
          <t>부강 매포역에서 차량 3분 마을 인접, 전원주택, 세컨하우스 수요많음</t>
        </is>
      </c>
      <c r="L1194" s="6">
        <f>HYPERLINK("https://fin.land.naver.com/articles/2654688238",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114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356-1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72000</v>
      </c>
      <c r="G1195" s="4" t="n">
        <v>3963</v>
      </c>
      <c r="H1195" s="4" t="n">
        <v>1199</v>
      </c>
      <c r="I1195" s="5" t="n">
        <v>60.1</v>
      </c>
      <c r="J1195" s="5" t="n">
        <v>25.8</v>
      </c>
      <c r="K1195" s="3" t="inlineStr">
        <is>
          <t>부강면노호리 생산관리지역 마을인접 가격조정가능</t>
        </is>
      </c>
      <c r="L1195" s="6">
        <f>HYPERLINK("https://fin.land.naver.com/articles/2654709778", "매물Link")</f>
        <v/>
      </c>
      <c r="M1195" s="6">
        <f>HYPERLINK("https://map.naver.com/p/search/부강면 노호리 356-1", "지도Link")</f>
        <v/>
      </c>
      <c r="N1195" s="6">
        <f>HYPERLINK("http://www.eum.go.kr/web/ar/lu/luLandDet.jsp?pnu=3611033027103560001&amp;isNoScr=script&amp;mode=search",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2446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55-3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23000</v>
      </c>
      <c r="G1196" s="4" t="n">
        <v>1336</v>
      </c>
      <c r="H1196" s="4" t="n">
        <v>404</v>
      </c>
      <c r="I1196" s="5" t="n">
        <v>56.9</v>
      </c>
      <c r="J1196" s="5" t="n">
        <v>38.5</v>
      </c>
      <c r="K1196" s="3" t="inlineStr">
        <is>
          <t>부강면 노호리에 있는 계획관리지역의 지목이 대지입니다.</t>
        </is>
      </c>
      <c r="L1196" s="6">
        <f>HYPERLINK("https://fin.land.naver.com/articles/2650952485", "매물Link")</f>
        <v/>
      </c>
      <c r="M1196" s="6">
        <f>HYPERLINK("https://map.naver.com/p/search/부강면 노호리 55-3", "지도Link")</f>
        <v/>
      </c>
      <c r="N1196" s="6">
        <f>HYPERLINK("http://www.eum.go.kr/web/ar/lu/luLandDet.jsp?pnu=3611033027100550003&amp;isNoScr=script&amp;mode=search",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1336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63-4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62000</v>
      </c>
      <c r="G1197" s="4" t="n">
        <v>1351</v>
      </c>
      <c r="H1197" s="4" t="n">
        <v>409</v>
      </c>
      <c r="I1197" s="5" t="n">
        <v>151.6</v>
      </c>
      <c r="J1197" s="5" t="n">
        <v>43.4</v>
      </c>
      <c r="K1197" s="3" t="inlineStr">
        <is>
          <t>계획관리 토지, 지목대지,답 단독주택</t>
        </is>
      </c>
      <c r="L1197" s="6">
        <f>HYPERLINK("https://fin.land.naver.com/articles/2655059927", "매물Link")</f>
        <v/>
      </c>
      <c r="M1197" s="6">
        <f>HYPERLINK("https://map.naver.com/p/search/부강면 노호리 63-4", "지도Link")</f>
        <v/>
      </c>
      <c r="N1197" s="6">
        <f>HYPERLINK("http://www.eum.go.kr/web/ar/lu/luLandDet.jsp?pnu=3611033027100630004&amp;isNoScr=script&amp;mode=search",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655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노호리 산66-16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49000</v>
      </c>
      <c r="G1198" s="4" t="n">
        <v>2813</v>
      </c>
      <c r="H1198" s="4" t="n">
        <v>851</v>
      </c>
      <c r="I1198" s="5" t="n">
        <v>57.6</v>
      </c>
      <c r="J1198" s="5" t="n">
        <v>5.1</v>
      </c>
      <c r="K1198" s="3" t="inlineStr">
        <is>
          <t>계획관리지역 최고의 전원주택부지 인접지역이 개발호재가 많아 미래가치있음</t>
        </is>
      </c>
      <c r="L1198" s="6">
        <f>HYPERLINK("https://fin.land.naver.com/articles/2653591285", "매물Link")</f>
        <v/>
      </c>
      <c r="M1198" s="6">
        <f>HYPERLINK("https://map.naver.com/p/search/부강면 노호리 산66-16", "지도Link")</f>
        <v/>
      </c>
      <c r="N1198" s="6">
        <f>HYPERLINK("http://www.eum.go.kr/web/ar/lu/luLandDet.jsp?pnu=3611033027200660016&amp;isNoScr=script&amp;mode=search", "토지이음")</f>
        <v/>
      </c>
      <c r="O1198" s="3" t="inlineStr">
        <is>
          <t>대전토지로무소</t>
        </is>
      </c>
      <c r="P1198" s="4" t="n">
        <v>1</v>
      </c>
      <c r="Q1198" s="4" t="n">
        <v>2813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384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대</t>
        </is>
      </c>
      <c r="E1211" s="3" t="inlineStr">
        <is>
          <t>매매</t>
        </is>
      </c>
      <c r="F1211" s="4" t="n">
        <v>130000</v>
      </c>
      <c r="G1211" s="4" t="n">
        <v>1656</v>
      </c>
      <c r="H1211" s="4" t="n">
        <v>501</v>
      </c>
      <c r="I1211" s="5" t="n">
        <v>259.5</v>
      </c>
      <c r="J1211" s="5" t="n">
        <v>55.6</v>
      </c>
      <c r="K1211" s="3" t="inlineStr">
        <is>
          <t>남청주IC 2분거리,대로변 접한 토지로 광고효과,대형차량 진출입 편리</t>
        </is>
      </c>
      <c r="L1211" s="6">
        <f>HYPERLINK("https://fin.land.naver.com/articles/2654719242", "매물Link")</f>
        <v/>
      </c>
      <c r="M1211" s="6">
        <f>HYPERLINK("https://map.naver.com/p/search/부강면 문곡리 384", "지도Link")</f>
        <v/>
      </c>
      <c r="N1211" s="6">
        <f>HYPERLINK("http://www.eum.go.kr/web/ar/lu/luLandDet.jsp?pnu=3611033025103840000&amp;isNoScr=script&amp;mode=search", "토지이음")</f>
        <v/>
      </c>
      <c r="O1211" s="3" t="inlineStr">
        <is>
          <t>금화랜드</t>
        </is>
      </c>
      <c r="P1211" s="4" t="n">
        <v>1</v>
      </c>
      <c r="Q1211" s="4" t="n">
        <v>1406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부강면 문곡리 437</t>
        </is>
      </c>
      <c r="B1212" s="3" t="inlineStr">
        <is>
          <t>계획관리지역</t>
        </is>
      </c>
      <c r="C1212" s="3" t="inlineStr">
        <is>
          <t>공장용지</t>
        </is>
      </c>
      <c r="D1212" s="3" t="inlineStr">
        <is>
          <t>공장용지</t>
        </is>
      </c>
      <c r="E1212" s="3" t="inlineStr">
        <is>
          <t>매매</t>
        </is>
      </c>
      <c r="F1212" s="4" t="n">
        <v>95000</v>
      </c>
      <c r="G1212" s="4" t="n">
        <v>1652</v>
      </c>
      <c r="H1212" s="4" t="n">
        <v>500</v>
      </c>
      <c r="I1212" s="5" t="n">
        <v>190</v>
      </c>
      <c r="J1212" s="5" t="n">
        <v>82</v>
      </c>
      <c r="K1212" s="3" t="inlineStr">
        <is>
          <t>공장등록 가능한 공장 용지, 남청주 IC 5분 거리, 대형차 진출입 용이</t>
        </is>
      </c>
      <c r="L1212" s="6">
        <f>HYPERLINK("https://fin.land.naver.com/articles/2654711226", "매물Link")</f>
        <v/>
      </c>
      <c r="M1212" s="6">
        <f>HYPERLINK("https://map.naver.com/p/search/부강면 문곡리 437", "지도Link")</f>
        <v/>
      </c>
      <c r="N1212" s="6">
        <f>HYPERLINK("http://www.eum.go.kr/web/ar/lu/luLandDet.jsp?pnu=3611033025104370000&amp;isNoScr=script&amp;mode=search", "토지이음")</f>
        <v/>
      </c>
      <c r="O1212" s="3" t="inlineStr">
        <is>
          <t>에이스</t>
        </is>
      </c>
      <c r="P1212" s="4" t="n">
        <v>1</v>
      </c>
      <c r="Q1212" s="4" t="n">
        <v>3358</v>
      </c>
      <c r="R1212" s="3" t="inlineStr">
        <is>
          <t>지정되지않음</t>
        </is>
      </c>
      <c r="S1212" s="3" t="inlineStr">
        <is>
          <t>공업용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문곡리 446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28700</v>
      </c>
      <c r="G1213" s="4" t="n">
        <v>1355</v>
      </c>
      <c r="H1213" s="4" t="n">
        <v>410</v>
      </c>
      <c r="I1213" s="5" t="n">
        <v>70</v>
      </c>
      <c r="J1213" s="5" t="n">
        <v>27.7</v>
      </c>
      <c r="K1213" s="3" t="inlineStr">
        <is>
          <t>계획관리지역 토지 매매</t>
        </is>
      </c>
      <c r="L1213" s="6">
        <f>HYPERLINK("https://fin.land.naver.com/articles/2651646118", "매물Link")</f>
        <v/>
      </c>
      <c r="M1213" s="6">
        <f>HYPERLINK("https://map.naver.com/p/search/부강면 문곡리 446", "지도Link")</f>
        <v/>
      </c>
      <c r="N1213" s="6">
        <f>HYPERLINK("http://www.eum.go.kr/web/ar/lu/luLandDet.jsp?pnu=3611033025104460000&amp;isNoScr=script&amp;mode=search", "토지이음")</f>
        <v/>
      </c>
      <c r="O1213" s="3" t="inlineStr">
        <is>
          <t>THE행복</t>
        </is>
      </c>
      <c r="P1213" s="4" t="n">
        <v>2</v>
      </c>
      <c r="Q1213" s="4" t="n">
        <v>226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문곡리 456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56000</v>
      </c>
      <c r="G1214" s="4" t="n">
        <v>1544</v>
      </c>
      <c r="H1214" s="4" t="n">
        <v>467</v>
      </c>
      <c r="I1214" s="5" t="n">
        <v>119.9</v>
      </c>
      <c r="J1214" s="5" t="n">
        <v>24.3</v>
      </c>
      <c r="K1214" s="3" t="inlineStr">
        <is>
          <t>2차선 도로에 접하고, 관정 비닐하우스도 있음, 지하고속철도 진동없음</t>
        </is>
      </c>
      <c r="L1214" s="6">
        <f>HYPERLINK("https://fin.land.naver.com/articles/2652070167", "매물Link")</f>
        <v/>
      </c>
      <c r="M1214" s="6">
        <f>HYPERLINK("https://map.naver.com/p/search/부강면 문곡리 456", "지도Link")</f>
        <v/>
      </c>
      <c r="N1214" s="6">
        <f>HYPERLINK("http://www.eum.go.kr/web/ar/lu/luLandDet.jsp?pnu=3611033025104560000&amp;isNoScr=script&amp;mode=search", "토지이음")</f>
        <v/>
      </c>
      <c r="O1214" s="3" t="inlineStr">
        <is>
          <t>연동스카이</t>
        </is>
      </c>
      <c r="P1214" s="4" t="n">
        <v>1</v>
      </c>
      <c r="Q1214" s="4" t="n">
        <v>1544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문곡리 756-4</t>
        </is>
      </c>
      <c r="B1215" s="3" t="inlineStr">
        <is>
          <t>계획관리지역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50000</v>
      </c>
      <c r="G1215" s="4" t="n">
        <v>663</v>
      </c>
      <c r="H1215" s="4" t="n">
        <v>201</v>
      </c>
      <c r="I1215" s="5" t="n">
        <v>248.8</v>
      </c>
      <c r="J1215" s="5" t="n">
        <v>81.90000000000001</v>
      </c>
      <c r="K1215" s="3" t="inlineStr">
        <is>
          <t>남청주IC 근처, 접근성 좋은 작은 토지 매매</t>
        </is>
      </c>
      <c r="L1215" s="6">
        <f>HYPERLINK("https://fin.land.naver.com/articles/2651713801", "매물Link")</f>
        <v/>
      </c>
      <c r="M1215" s="6">
        <f>HYPERLINK("https://map.naver.com/p/search/부강면 문곡리 756-4", "지도Link")</f>
        <v/>
      </c>
      <c r="N1215" s="6">
        <f>HYPERLINK("http://www.eum.go.kr/web/ar/lu/luLandDet.jsp?pnu=3611033025107560004&amp;isNoScr=script&amp;mode=search", "토지이음")</f>
        <v/>
      </c>
      <c r="O1215" s="3" t="inlineStr">
        <is>
          <t>금화랜드</t>
        </is>
      </c>
      <c r="P1215" s="4" t="n">
        <v>1</v>
      </c>
      <c r="Q1215" s="4" t="n">
        <v>663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문곡리 802</t>
        </is>
      </c>
      <c r="B1216" s="3" t="inlineStr">
        <is>
          <t>생산관리지역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2079</v>
      </c>
      <c r="H1216" s="4" t="n">
        <v>629</v>
      </c>
      <c r="I1216" s="5" t="n">
        <v>47.7</v>
      </c>
      <c r="J1216" s="5" t="n">
        <v>44.2</v>
      </c>
      <c r="K1216" s="3" t="inlineStr">
        <is>
          <t>nan</t>
        </is>
      </c>
      <c r="L1216" s="6">
        <f>HYPERLINK("https://fin.land.naver.com/articles/2654967426", "매물Link")</f>
        <v/>
      </c>
      <c r="M1216" s="6">
        <f>HYPERLINK("https://map.naver.com/p/search/부강면 문곡리 802", "지도Link")</f>
        <v/>
      </c>
      <c r="N1216" s="6">
        <f>HYPERLINK("http://www.eum.go.kr/web/ar/lu/luLandDet.jsp?pnu=3611033025108020000&amp;isNoScr=script&amp;mode=search", "토지이음")</f>
        <v/>
      </c>
      <c r="O1216" s="3" t="inlineStr">
        <is>
          <t>갤러리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2079</v>
      </c>
      <c r="H1217" s="4" t="n">
        <v>629</v>
      </c>
      <c r="I1217" s="5" t="n">
        <v>63.6</v>
      </c>
      <c r="J1217" s="5" t="n">
        <v>44.2</v>
      </c>
      <c r="K1217" s="3" t="inlineStr">
        <is>
          <t>nan</t>
        </is>
      </c>
      <c r="L1217" s="6">
        <f>HYPERLINK("https://fin.land.naver.com/articles/2651247437",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대웅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81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1038</v>
      </c>
      <c r="H1218" s="4" t="n">
        <v>314</v>
      </c>
      <c r="I1218" s="5" t="n">
        <v>130.6</v>
      </c>
      <c r="J1218" s="5" t="n">
        <v>29.9</v>
      </c>
      <c r="K1218" s="3" t="inlineStr">
        <is>
          <t>2차선 도로옆으로 남청주 IC 3km</t>
        </is>
      </c>
      <c r="L1218" s="6">
        <f>HYPERLINK("https://fin.land.naver.com/articles/2651423441", "매물Link")</f>
        <v/>
      </c>
      <c r="M1218" s="6">
        <f>HYPERLINK("https://map.naver.com/p/search/부강면 문곡리 81", "지도Link")</f>
        <v/>
      </c>
      <c r="N1218" s="6">
        <f>HYPERLINK("http://www.eum.go.kr/web/ar/lu/luLandDet.jsp?pnu=3611033025100810000&amp;isNoScr=script&amp;mode=search", "토지이음")</f>
        <v/>
      </c>
      <c r="O1218" s="3" t="inlineStr">
        <is>
          <t>대웅</t>
        </is>
      </c>
      <c r="P1218" s="4" t="n">
        <v>1</v>
      </c>
      <c r="Q1218" s="4" t="n">
        <v>635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부강면 문곡리 836-2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대</t>
        </is>
      </c>
      <c r="E1219" s="3" t="inlineStr">
        <is>
          <t>매매</t>
        </is>
      </c>
      <c r="F1219" s="4" t="n">
        <v>50000</v>
      </c>
      <c r="G1219" s="4" t="n">
        <v>1815</v>
      </c>
      <c r="H1219" s="4" t="n">
        <v>549</v>
      </c>
      <c r="I1219" s="5" t="n">
        <v>91.09999999999999</v>
      </c>
      <c r="J1219" s="5" t="n">
        <v>25.9</v>
      </c>
      <c r="K1219" s="3" t="inlineStr">
        <is>
          <t>계획관리지역,  세종에서 10분이내거리</t>
        </is>
      </c>
      <c r="L1219" s="6">
        <f>HYPERLINK("https://fin.land.naver.com/articles/2654450920", "매물Link")</f>
        <v/>
      </c>
      <c r="M1219" s="6">
        <f>HYPERLINK("https://map.naver.com/p/search/부강면 문곡리 836-2", "지도Link")</f>
        <v/>
      </c>
      <c r="N1219" s="6">
        <f>HYPERLINK("http://www.eum.go.kr/web/ar/lu/luLandDet.jsp?pnu=3611033025108360002&amp;isNoScr=script&amp;mode=search", "토지이음")</f>
        <v/>
      </c>
      <c r="O1219" s="3" t="inlineStr">
        <is>
          <t>이담</t>
        </is>
      </c>
      <c r="P1219" s="4" t="n">
        <v>2</v>
      </c>
      <c r="Q1219" s="4" t="n">
        <v>1815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문곡리 901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123000</v>
      </c>
      <c r="G1220" s="4" t="n">
        <v>2710</v>
      </c>
      <c r="H1220" s="4" t="n">
        <v>820</v>
      </c>
      <c r="I1220" s="5" t="n">
        <v>150</v>
      </c>
      <c r="J1220" s="5" t="n">
        <v>22.5</v>
      </c>
      <c r="K1220" s="3" t="inlineStr">
        <is>
          <t>도로에 접한 계획관리 토지공장허가득함</t>
        </is>
      </c>
      <c r="L1220" s="6">
        <f>HYPERLINK("https://fin.land.naver.com/articles/2650858523", "매물Link")</f>
        <v/>
      </c>
      <c r="M1220" s="6">
        <f>HYPERLINK("https://map.naver.com/p/search/부강면 문곡리 901", "지도Link")</f>
        <v/>
      </c>
      <c r="N1220" s="6">
        <f>HYPERLINK("http://www.eum.go.kr/web/ar/lu/luLandDet.jsp?pnu=3611033025109010000&amp;isNoScr=script&amp;mode=search", "토지이음")</f>
        <v/>
      </c>
      <c r="O1220" s="3" t="inlineStr">
        <is>
          <t>세종대박</t>
        </is>
      </c>
      <c r="P1220" s="4" t="n">
        <v>1</v>
      </c>
      <c r="Q1220" s="4" t="n">
        <v>2147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부강면 문곡리 902-1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98800</v>
      </c>
      <c r="G1221" s="4" t="n">
        <v>2334</v>
      </c>
      <c r="H1221" s="4" t="n">
        <v>706</v>
      </c>
      <c r="I1221" s="5" t="n">
        <v>139.9</v>
      </c>
      <c r="J1221" s="5" t="n">
        <v>24.7</v>
      </c>
      <c r="K1221" s="3" t="inlineStr">
        <is>
          <t>투자,공장,창고,주택용지 계획관리토지분할매매가능</t>
        </is>
      </c>
      <c r="L1221" s="6">
        <f>HYPERLINK("https://fin.land.naver.com/articles/2655032760", "매물Link")</f>
        <v/>
      </c>
      <c r="M1221" s="6">
        <f>HYPERLINK("https://map.naver.com/p/search/부강면 문곡리 902-1", "지도Link")</f>
        <v/>
      </c>
      <c r="N1221" s="6">
        <f>HYPERLINK("http://www.eum.go.kr/web/ar/lu/luLandDet.jsp?pnu=3611033025109020001&amp;isNoScr=script&amp;mode=search", "토지이음")</f>
        <v/>
      </c>
      <c r="O1221" s="3" t="inlineStr">
        <is>
          <t>세종대박</t>
        </is>
      </c>
      <c r="P1221" s="4" t="n">
        <v>4</v>
      </c>
      <c r="Q1221" s="4" t="n">
        <v>2334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문곡리 903-3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136000</v>
      </c>
      <c r="G1222" s="4" t="n">
        <v>3505</v>
      </c>
      <c r="H1222" s="4" t="n">
        <v>1060</v>
      </c>
      <c r="I1222" s="5" t="n">
        <v>128.3</v>
      </c>
      <c r="J1222" s="5" t="n">
        <v>22.5</v>
      </c>
      <c r="K1222" s="3" t="inlineStr">
        <is>
          <t>남청주IC와 가까워 물류센터,공장 추천,계획관리지역의 토지</t>
        </is>
      </c>
      <c r="L1222" s="6">
        <f>HYPERLINK("https://fin.land.naver.com/articles/2654295080", "매물Link")</f>
        <v/>
      </c>
      <c r="M1222" s="6">
        <f>HYPERLINK("https://map.naver.com/p/search/부강면 문곡리 903-3", "지도Link")</f>
        <v/>
      </c>
      <c r="N1222" s="6">
        <f>HYPERLINK("http://www.eum.go.kr/web/ar/lu/luLandDet.jsp?pnu=3611033025109030003&amp;isNoScr=script&amp;mode=search",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3505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즉시 건축 가능한 공장 및 창고부지 계획관리지역 남청주 IC인근</t>
        </is>
      </c>
      <c r="L1223" s="6">
        <f>HYPERLINK("https://fin.land.naver.com/articles/2651924940",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대전토지로무소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918-1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2991</v>
      </c>
      <c r="H1224" s="4" t="n">
        <v>905</v>
      </c>
      <c r="I1224" s="5" t="n">
        <v>276.2</v>
      </c>
      <c r="J1224" s="5" t="n">
        <v>96.2</v>
      </c>
      <c r="K1224" s="3" t="inlineStr">
        <is>
          <t>조율가능 2차선변 진입로넓음 토지모양 평탄화 컨디션최상</t>
        </is>
      </c>
      <c r="L1224" s="6">
        <f>HYPERLINK("https://fin.land.naver.com/articles/2652943481", "매물Link")</f>
        <v/>
      </c>
      <c r="M1224" s="6">
        <f>HYPERLINK("https://map.naver.com/p/search/부강면 문곡리 918-1", "지도Link")</f>
        <v/>
      </c>
      <c r="N1224" s="6">
        <f>HYPERLINK("http://www.eum.go.kr/web/ar/lu/luLandDet.jsp?pnu=3611033025109180001&amp;isNoScr=script&amp;mode=search", "토지이음")</f>
        <v/>
      </c>
      <c r="O1224" s="3" t="inlineStr">
        <is>
          <t>세종스타</t>
        </is>
      </c>
      <c r="P1224" s="4" t="n">
        <v>1</v>
      </c>
      <c r="Q1224" s="4" t="n">
        <v>2063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문곡리 산79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630000</v>
      </c>
      <c r="G1225" s="4" t="n">
        <v>25033</v>
      </c>
      <c r="H1225" s="4" t="n">
        <v>7572</v>
      </c>
      <c r="I1225" s="5" t="n">
        <v>83.2</v>
      </c>
      <c r="J1225" s="5" t="n">
        <v>7.7</v>
      </c>
      <c r="K1225" s="3" t="inlineStr">
        <is>
          <t>5생활권과 남청주IC 중간에 위치한 보전관리 토지</t>
        </is>
      </c>
      <c r="L1225" s="6">
        <f>HYPERLINK("https://fin.land.naver.com/articles/2653532400", "매물Link")</f>
        <v/>
      </c>
      <c r="M1225" s="6">
        <f>HYPERLINK("https://map.naver.com/p/search/부강면 문곡리 산79", "지도Link")</f>
        <v/>
      </c>
      <c r="N1225" s="6">
        <f>HYPERLINK("http://www.eum.go.kr/web/ar/lu/luLandDet.jsp?pnu=3611033025200790000&amp;isNoScr=script&amp;mode=search", "토지이음")</f>
        <v/>
      </c>
      <c r="O1225" s="3" t="inlineStr">
        <is>
          <t>황제</t>
        </is>
      </c>
      <c r="P1225" s="4" t="n">
        <v>1</v>
      </c>
      <c r="Q1225" s="4" t="n">
        <v>25033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부강리 1003-3</t>
        </is>
      </c>
      <c r="B1226" s="3" t="inlineStr">
        <is>
          <t>제1종일반주거지역</t>
        </is>
      </c>
      <c r="C1226" s="3" t="inlineStr">
        <is>
          <t>잡종지</t>
        </is>
      </c>
      <c r="D1226" s="3" t="inlineStr">
        <is>
          <t>잡종지</t>
        </is>
      </c>
      <c r="E1226" s="3" t="inlineStr">
        <is>
          <t>월세</t>
        </is>
      </c>
      <c r="F1226" s="4" t="n">
        <v>3000</v>
      </c>
      <c r="G1226" s="4" t="n">
        <v>2345</v>
      </c>
      <c r="H1226" s="4" t="n">
        <v>709</v>
      </c>
      <c r="I1226" s="5" t="n">
        <v>0.4</v>
      </c>
      <c r="J1226" s="5" t="n">
        <v>291.4</v>
      </c>
      <c r="K1226" s="3" t="inlineStr">
        <is>
          <t>2차선도로에서 진입 대형화물차도 진입가능합니다.</t>
        </is>
      </c>
      <c r="L1226" s="6">
        <f>HYPERLINK("https://fin.land.naver.com/articles/2651013568", "매물Link")</f>
        <v/>
      </c>
      <c r="M1226" s="6">
        <f>HYPERLINK("https://map.naver.com/p/search/부강면 부강리 1003-3", "지도Link")</f>
        <v/>
      </c>
      <c r="N1226" s="6">
        <f>HYPERLINK("http://www.eum.go.kr/web/ar/lu/luLandDet.jsp?pnu=3611033021110030003&amp;isNoScr=script&amp;mode=search", "토지이음")</f>
        <v/>
      </c>
      <c r="O1226" s="3" t="inlineStr">
        <is>
          <t>연동스카이</t>
        </is>
      </c>
      <c r="P1226" s="4" t="n">
        <v>1</v>
      </c>
      <c r="Q1226" s="4" t="n">
        <v>1494</v>
      </c>
      <c r="R1226" s="3" t="inlineStr">
        <is>
          <t>지정되지않음</t>
        </is>
      </c>
      <c r="S1226" s="3" t="inlineStr">
        <is>
          <t>상업용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1046-1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전</t>
        </is>
      </c>
      <c r="E1227" s="3" t="inlineStr">
        <is>
          <t>매매</t>
        </is>
      </c>
      <c r="F1227" s="4" t="n">
        <v>70000</v>
      </c>
      <c r="G1227" s="4" t="n">
        <v>1521</v>
      </c>
      <c r="H1227" s="4" t="n">
        <v>460</v>
      </c>
      <c r="I1227" s="5" t="n">
        <v>152.2</v>
      </c>
      <c r="J1227" s="5" t="n">
        <v>90.59999999999999</v>
      </c>
      <c r="K1227" s="3" t="inlineStr">
        <is>
          <t>nan</t>
        </is>
      </c>
      <c r="L1227" s="6">
        <f>HYPERLINK("https://fin.land.naver.com/articles/2651729349", "매물Link")</f>
        <v/>
      </c>
      <c r="M1227" s="6">
        <f>HYPERLINK("https://map.naver.com/p/search/부강면 부강리 1046-1", "지도Link")</f>
        <v/>
      </c>
      <c r="N1227" s="6">
        <f>HYPERLINK("http://www.eum.go.kr/web/ar/lu/luLandDet.jsp?pnu=3611033021110460001&amp;isNoScr=script&amp;mode=search", "토지이음")</f>
        <v/>
      </c>
      <c r="O1227" s="3" t="inlineStr">
        <is>
          <t>세종땅전문</t>
        </is>
      </c>
      <c r="P1227" s="4" t="n">
        <v>1</v>
      </c>
      <c r="Q1227" s="4" t="n">
        <v>125</v>
      </c>
      <c r="R1227" s="3" t="inlineStr">
        <is>
          <t>지정되지않음</t>
        </is>
      </c>
      <c r="S1227" s="3" t="inlineStr">
        <is>
          <t>주거기타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부강리 1046-4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100000</v>
      </c>
      <c r="G1228" s="4" t="n">
        <v>1501</v>
      </c>
      <c r="H1228" s="4" t="n">
        <v>454</v>
      </c>
      <c r="I1228" s="5" t="n">
        <v>220.3</v>
      </c>
      <c r="J1228" s="5" t="n">
        <v>80.09999999999999</v>
      </c>
      <c r="K1228" s="3" t="inlineStr">
        <is>
          <t>부강리 도시지역 자역녹지 대지와 전 2필지로 정비소나 애완카페등으로 이용</t>
        </is>
      </c>
      <c r="L1228" s="6">
        <f>HYPERLINK("https://fin.land.naver.com/articles/2655808351", "매물Link")</f>
        <v/>
      </c>
      <c r="M1228" s="6">
        <f>HYPERLINK("https://map.naver.com/p/search/부강면 부강리 1046-4", "지도Link")</f>
        <v/>
      </c>
      <c r="N1228" s="6">
        <f>HYPERLINK("http://www.eum.go.kr/web/ar/lu/luLandDet.jsp?pnu=3611033021110460004&amp;isNoScr=script&amp;mode=search",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1007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부강면 부강리 1060-4</t>
        </is>
      </c>
      <c r="B1229" s="3" t="inlineStr">
        <is>
          <t>자연녹지지역</t>
        </is>
      </c>
      <c r="C1229" s="3" t="inlineStr">
        <is>
          <t>주차장</t>
        </is>
      </c>
      <c r="D1229" s="3" t="inlineStr">
        <is>
          <t>주차장</t>
        </is>
      </c>
      <c r="E1229" s="3" t="inlineStr">
        <is>
          <t>월세</t>
        </is>
      </c>
      <c r="F1229" s="4" t="n">
        <v>1000</v>
      </c>
      <c r="G1229" s="4" t="n">
        <v>1024</v>
      </c>
      <c r="H1229" s="4" t="n">
        <v>310</v>
      </c>
      <c r="I1229" s="5" t="n">
        <v>0.4</v>
      </c>
      <c r="J1229" s="5" t="n">
        <v>62.8</v>
      </c>
      <c r="K1229" s="3" t="inlineStr">
        <is>
          <t>버스 .대형차 차고지 사용하실분 환영 (사무실용도 27㎡)포함임</t>
        </is>
      </c>
      <c r="L1229" s="6">
        <f>HYPERLINK("https://fin.land.naver.com/articles/2653206582", "매물Link")</f>
        <v/>
      </c>
      <c r="M1229" s="6">
        <f>HYPERLINK("https://map.naver.com/p/search/부강면 부강리 1060-4", "지도Link")</f>
        <v/>
      </c>
      <c r="N1229" s="6">
        <f>HYPERLINK("http://www.eum.go.kr/web/ar/lu/luLandDet.jsp?pnu=3611033021110600004&amp;isNoScr=script&amp;mode=search", "토지이음")</f>
        <v/>
      </c>
      <c r="O1229" s="3" t="inlineStr">
        <is>
          <t>대박</t>
        </is>
      </c>
      <c r="P1229" s="4" t="n">
        <v>1</v>
      </c>
      <c r="Q1229" s="4" t="n">
        <v>1024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부강리 1078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75200</v>
      </c>
      <c r="G1230" s="4" t="n">
        <v>3110</v>
      </c>
      <c r="H1230" s="4" t="n">
        <v>941</v>
      </c>
      <c r="I1230" s="5" t="n">
        <v>79.90000000000001</v>
      </c>
      <c r="J1230" s="5" t="n">
        <v>34.5</v>
      </c>
      <c r="K1230" s="3" t="inlineStr">
        <is>
          <t>투자용 토지</t>
        </is>
      </c>
      <c r="L1230" s="6">
        <f>HYPERLINK("https://fin.land.naver.com/articles/2653769241", "매물Link")</f>
        <v/>
      </c>
      <c r="M1230" s="6">
        <f>HYPERLINK("https://map.naver.com/p/search/부강면 부강리 1078", "지도Link")</f>
        <v/>
      </c>
      <c r="N1230" s="6">
        <f>HYPERLINK("http://www.eum.go.kr/web/ar/lu/luLandDet.jsp?pnu=3611033021110780000&amp;isNoScr=script&amp;mode=search", "토지이음")</f>
        <v/>
      </c>
      <c r="O1230" s="3" t="inlineStr">
        <is>
          <t>일오삼</t>
        </is>
      </c>
      <c r="P1230" s="4" t="n">
        <v>1</v>
      </c>
      <c r="Q1230" s="4" t="n">
        <v>902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부강리 1094-1</t>
        </is>
      </c>
      <c r="B1231" s="3" t="inlineStr">
        <is>
          <t>생산녹지지역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63500</v>
      </c>
      <c r="G1231" s="4" t="n">
        <v>565</v>
      </c>
      <c r="H1231" s="4" t="n">
        <v>171</v>
      </c>
      <c r="I1231" s="5" t="n">
        <v>371.3</v>
      </c>
      <c r="J1231" s="5" t="n">
        <v>45</v>
      </c>
      <c r="K1231" s="3" t="inlineStr">
        <is>
          <t>투자추천. 세종시 귀한 소형평수. 남세종IC. 부강역인근. 5생활권 근접</t>
        </is>
      </c>
      <c r="L1231" s="6">
        <f>HYPERLINK("https://fin.land.naver.com/articles/2655407742", "매물Link")</f>
        <v/>
      </c>
      <c r="M1231" s="6">
        <f>HYPERLINK("https://map.naver.com/p/search/부강면 부강리 1094-1", "지도Link")</f>
        <v/>
      </c>
      <c r="N1231" s="6">
        <f>HYPERLINK("http://www.eum.go.kr/web/ar/lu/luLandDet.jsp?pnu=3611033021110940001&amp;isNoScr=script&amp;mode=search", "토지이음")</f>
        <v/>
      </c>
      <c r="O1231" s="3" t="inlineStr">
        <is>
          <t>세종금밭</t>
        </is>
      </c>
      <c r="P1231" s="4" t="n">
        <v>1</v>
      </c>
      <c r="Q1231" s="4" t="n">
        <v>565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부강리 1230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170000</v>
      </c>
      <c r="G1232" s="4" t="n">
        <v>2365</v>
      </c>
      <c r="H1232" s="4" t="n">
        <v>715</v>
      </c>
      <c r="I1232" s="5" t="n">
        <v>237.8</v>
      </c>
      <c r="J1232" s="5" t="n">
        <v>37.7</v>
      </c>
      <c r="K1232" s="3" t="inlineStr">
        <is>
          <t>계획관리지역, 농막, 비닐하우스, 성토완료, 지하수있음</t>
        </is>
      </c>
      <c r="L1232" s="6">
        <f>HYPERLINK("https://fin.land.naver.com/articles/2654450912", "매물Link")</f>
        <v/>
      </c>
      <c r="M1232" s="6">
        <f>HYPERLINK("https://map.naver.com/p/search/부강면 부강리 1230", "지도Link")</f>
        <v/>
      </c>
      <c r="N1232" s="6">
        <f>HYPERLINK("http://www.eum.go.kr/web/ar/lu/luLandDet.jsp?pnu=3611033021112300000&amp;isNoScr=script&amp;mode=search", "토지이음")</f>
        <v/>
      </c>
      <c r="O1232" s="3" t="inlineStr">
        <is>
          <t>이담</t>
        </is>
      </c>
      <c r="P1232" s="4" t="n">
        <v>1</v>
      </c>
      <c r="Q1232" s="4" t="n">
        <v>2365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부강면 부강리 1252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잡종지</t>
        </is>
      </c>
      <c r="E1233" s="3" t="inlineStr">
        <is>
          <t>매매</t>
        </is>
      </c>
      <c r="F1233" s="4" t="n">
        <v>1000000</v>
      </c>
      <c r="G1233" s="4" t="n">
        <v>8347</v>
      </c>
      <c r="H1233" s="4" t="n">
        <v>2525</v>
      </c>
      <c r="I1233" s="5" t="n">
        <v>396</v>
      </c>
      <c r="J1233" s="5" t="n">
        <v>97.40000000000001</v>
      </c>
      <c r="K1233" s="3" t="inlineStr">
        <is>
          <t>세종 부강면 부강리 소재 토지 잡종지라 활용 방향 검토 폭이 넓은 편 계</t>
        </is>
      </c>
      <c r="L1233" s="6">
        <f>HYPERLINK("https://fin.land.naver.com/articles/2651604812", "매물Link")</f>
        <v/>
      </c>
      <c r="M1233" s="6">
        <f>HYPERLINK("https://map.naver.com/p/search/부강면 부강리 1252", "지도Link")</f>
        <v/>
      </c>
      <c r="N1233" s="6">
        <f>HYPERLINK("http://www.eum.go.kr/web/ar/lu/luLandDet.jsp?pnu=3611033021112520000&amp;isNoScr=script&amp;mode=search",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4832</v>
      </c>
      <c r="R1233" s="3" t="inlineStr">
        <is>
          <t>지정되지않음</t>
        </is>
      </c>
      <c r="S1233" s="3" t="inlineStr">
        <is>
          <t>공업나지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부강리 343-1</t>
        </is>
      </c>
      <c r="B1234" s="3" t="inlineStr">
        <is>
          <t>제2종일반주거지역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29500</v>
      </c>
      <c r="G1234" s="4" t="n">
        <v>420</v>
      </c>
      <c r="H1234" s="4" t="n">
        <v>127</v>
      </c>
      <c r="I1234" s="5" t="n">
        <v>232.3</v>
      </c>
      <c r="J1234" s="5" t="n">
        <v>94.90000000000001</v>
      </c>
      <c r="K1234" s="3" t="inlineStr">
        <is>
          <t>코너각지땅모양예쁜땅,지대가높아확트인조망,행복도시10분이내</t>
        </is>
      </c>
      <c r="L1234" s="6">
        <f>HYPERLINK("https://fin.land.naver.com/articles/2651590776", "매물Link")</f>
        <v/>
      </c>
      <c r="M1234" s="6">
        <f>HYPERLINK("https://map.naver.com/p/search/부강면 부강리 343-1", "지도Link")</f>
        <v/>
      </c>
      <c r="N1234" s="6">
        <f>HYPERLINK("http://www.eum.go.kr/web/ar/lu/luLandDet.jsp?pnu=3611033021103430001&amp;isNoScr=script&amp;mode=search", "토지이음")</f>
        <v/>
      </c>
      <c r="O1234" s="3" t="inlineStr">
        <is>
          <t>타이밍</t>
        </is>
      </c>
      <c r="P1234" s="4" t="n">
        <v>1</v>
      </c>
      <c r="Q1234" s="4" t="n">
        <v>420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부강리 386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</v>
      </c>
      <c r="G1235" s="4" t="n">
        <v>664</v>
      </c>
      <c r="H1235" s="4" t="n">
        <v>201</v>
      </c>
      <c r="I1235" s="5" t="n">
        <v>248.8</v>
      </c>
      <c r="J1235" s="5" t="n">
        <v>110</v>
      </c>
      <c r="K1235" s="3" t="inlineStr">
        <is>
          <t>부강면 나대지 매매, 부강역, 부강면사무소 인근, 근생 및 단독주택 건축</t>
        </is>
      </c>
      <c r="L1235" s="6">
        <f>HYPERLINK("https://fin.land.naver.com/articles/2654026451", "매물Link")</f>
        <v/>
      </c>
      <c r="M1235" s="6">
        <f>HYPERLINK("https://map.naver.com/p/search/부강면 부강리 386", "지도Link")</f>
        <v/>
      </c>
      <c r="N1235" s="6">
        <f>HYPERLINK("http://www.eum.go.kr/web/ar/lu/luLandDet.jsp?pnu=3611033021103860000&amp;isNoScr=script&amp;mode=search", "토지이음")</f>
        <v/>
      </c>
      <c r="O1235" s="3" t="inlineStr">
        <is>
          <t>스카이</t>
        </is>
      </c>
      <c r="P1235" s="4" t="n">
        <v>1</v>
      </c>
      <c r="Q1235" s="4" t="n">
        <v>664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446-13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140000</v>
      </c>
      <c r="G1236" s="4" t="n">
        <v>522</v>
      </c>
      <c r="H1236" s="4" t="n">
        <v>158</v>
      </c>
      <c r="I1236" s="5" t="n">
        <v>886.1</v>
      </c>
      <c r="J1236" s="5" t="n">
        <v>502.5</v>
      </c>
      <c r="K1236" s="3" t="inlineStr">
        <is>
          <t>추천.  현재 식당 운영 입지좋은 위치 상업시설 짓기 좋은 곳</t>
        </is>
      </c>
      <c r="L1236" s="6">
        <f>HYPERLINK("https://fin.land.naver.com/articles/2652475989", "매물Link")</f>
        <v/>
      </c>
      <c r="M1236" s="6">
        <f>HYPERLINK("https://map.naver.com/p/search/부강면 부강리 446-13", "지도Link")</f>
        <v/>
      </c>
      <c r="N1236" s="6">
        <f>HYPERLINK("http://www.eum.go.kr/web/ar/lu/luLandDet.jsp?pnu=3611033021104460013&amp;isNoScr=script&amp;mode=search", "토지이음")</f>
        <v/>
      </c>
      <c r="O1236" s="3" t="inlineStr">
        <is>
          <t>한강롯데(단지내)</t>
        </is>
      </c>
      <c r="P1236" s="4" t="n">
        <v>1</v>
      </c>
      <c r="Q1236" s="4" t="n">
        <v>522</v>
      </c>
      <c r="R1236" s="3" t="inlineStr">
        <is>
          <t>지정되지않음</t>
        </is>
      </c>
      <c r="S1236" s="3" t="inlineStr">
        <is>
          <t>상업용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소로각지</t>
        </is>
      </c>
    </row>
    <row r="1237">
      <c r="A1237" s="3" t="inlineStr">
        <is>
          <t>부강면 부강리 457-3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95000</v>
      </c>
      <c r="G1237" s="4" t="n">
        <v>767</v>
      </c>
      <c r="H1237" s="4" t="n">
        <v>232</v>
      </c>
      <c r="I1237" s="5" t="n">
        <v>409.5</v>
      </c>
      <c r="J1237" s="5" t="n">
        <v>311.3</v>
      </c>
      <c r="K1237" s="3" t="inlineStr">
        <is>
          <t>일반상업지역내, 부강역까지 도보 이동가능</t>
        </is>
      </c>
      <c r="L1237" s="6">
        <f>HYPERLINK("https://fin.land.naver.com/articles/2656275416", "매물Link")</f>
        <v/>
      </c>
      <c r="M1237" s="6">
        <f>HYPERLINK("https://map.naver.com/p/search/부강면 부강리 457-3", "지도Link")</f>
        <v/>
      </c>
      <c r="N1237" s="6">
        <f>HYPERLINK("http://www.eum.go.kr/web/ar/lu/luLandDet.jsp?pnu=3611033021104570003&amp;isNoScr=script&amp;mode=search", "토지이음")</f>
        <v/>
      </c>
      <c r="O1237" s="3" t="inlineStr">
        <is>
          <t>(주)미르</t>
        </is>
      </c>
      <c r="P1237" s="4" t="n">
        <v>2</v>
      </c>
      <c r="Q1237" s="4" t="n">
        <v>767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소로한면</t>
        </is>
      </c>
    </row>
    <row r="1238">
      <c r="A1238" s="3" t="inlineStr">
        <is>
          <t>부강면 부강리 486-3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68000</v>
      </c>
      <c r="G1238" s="4" t="n">
        <v>545</v>
      </c>
      <c r="H1238" s="4" t="n">
        <v>165</v>
      </c>
      <c r="I1238" s="5" t="n">
        <v>412.1</v>
      </c>
      <c r="J1238" s="5" t="n">
        <v>204.5</v>
      </c>
      <c r="K1238" s="3" t="inlineStr">
        <is>
          <t>부강초등학교 인근에 있는 일반주거지역으로 다가구주택 부지로 좋은 대지</t>
        </is>
      </c>
      <c r="L1238" s="6">
        <f>HYPERLINK("https://fin.land.naver.com/articles/2651241494", "매물Link")</f>
        <v/>
      </c>
      <c r="M1238" s="6">
        <f>HYPERLINK("https://map.naver.com/p/search/부강면 부강리 486-3", "지도Link")</f>
        <v/>
      </c>
      <c r="N1238" s="6">
        <f>HYPERLINK("http://www.eum.go.kr/web/ar/lu/luLandDet.jsp?pnu=3611033021104860003&amp;isNoScr=script&amp;mode=search",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545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580-1</t>
        </is>
      </c>
      <c r="B1239" s="3" t="inlineStr">
        <is>
          <t>일반공업지역</t>
        </is>
      </c>
      <c r="C1239" s="3" t="inlineStr">
        <is>
          <t>답</t>
        </is>
      </c>
      <c r="D1239" s="3" t="inlineStr">
        <is>
          <t>공장용지</t>
        </is>
      </c>
      <c r="E1239" s="3" t="inlineStr">
        <is>
          <t>매매</t>
        </is>
      </c>
      <c r="F1239" s="4" t="n">
        <v>346000</v>
      </c>
      <c r="G1239" s="4" t="n">
        <v>3808</v>
      </c>
      <c r="H1239" s="4" t="n">
        <v>1152</v>
      </c>
      <c r="I1239" s="5" t="n">
        <v>300.3</v>
      </c>
      <c r="J1239" s="5" t="n">
        <v>40.9</v>
      </c>
      <c r="K1239" s="3" t="inlineStr">
        <is>
          <t>입지 좋은 접근성 최상의 토지, 대로 2류 착공 예정, 가격 상승 기대</t>
        </is>
      </c>
      <c r="L1239" s="6">
        <f>HYPERLINK("https://fin.land.naver.com/articles/2651106962", "매물Link")</f>
        <v/>
      </c>
      <c r="M1239" s="6">
        <f>HYPERLINK("https://map.naver.com/p/search/부강면 부강리 580-1", "지도Link")</f>
        <v/>
      </c>
      <c r="N1239" s="6">
        <f>HYPERLINK("http://www.eum.go.kr/web/ar/lu/luLandDet.jsp?pnu=3611033021105800001&amp;isNoScr=script&amp;mode=search", "토지이음")</f>
        <v/>
      </c>
      <c r="O1239" s="3" t="inlineStr">
        <is>
          <t>행복한무소</t>
        </is>
      </c>
      <c r="P1239" s="4" t="n">
        <v>1</v>
      </c>
      <c r="Q1239" s="4" t="n">
        <v>3127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부강면 부강리 717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66000</v>
      </c>
      <c r="G1240" s="4" t="n">
        <v>545</v>
      </c>
      <c r="H1240" s="4" t="n">
        <v>165</v>
      </c>
      <c r="I1240" s="5" t="n">
        <v>400</v>
      </c>
      <c r="J1240" s="5" t="n">
        <v>80.90000000000001</v>
      </c>
      <c r="K1240" s="3" t="inlineStr">
        <is>
          <t>다용도로사용가능.현재사무실및창고용건물존재116.64제곱.금강변인접</t>
        </is>
      </c>
      <c r="L1240" s="6">
        <f>HYPERLINK("https://fin.land.naver.com/articles/2653859208", "매물Link")</f>
        <v/>
      </c>
      <c r="M1240" s="6">
        <f>HYPERLINK("https://map.naver.com/p/search/부강면 부강리 717", "지도Link")</f>
        <v/>
      </c>
      <c r="N1240" s="6">
        <f>HYPERLINK("http://www.eum.go.kr/web/ar/lu/luLandDet.jsp?pnu=3611033021107170000&amp;isNoScr=script&amp;mode=search", "토지이음")</f>
        <v/>
      </c>
      <c r="O1240" s="3" t="inlineStr">
        <is>
          <t>돈방석</t>
        </is>
      </c>
      <c r="P1240" s="4" t="n">
        <v>1</v>
      </c>
      <c r="Q1240" s="4" t="n">
        <v>545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부강리 729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34000</v>
      </c>
      <c r="G1241" s="4" t="n">
        <v>894</v>
      </c>
      <c r="H1241" s="4" t="n">
        <v>270</v>
      </c>
      <c r="I1241" s="5" t="n">
        <v>125.9</v>
      </c>
      <c r="J1241" s="5" t="n">
        <v>77.59999999999999</v>
      </c>
      <c r="K1241" s="3" t="inlineStr">
        <is>
          <t>부강면과 북대전IC간 광역도로 개통 호재 있는 부강면 계획관리 대지 급매</t>
        </is>
      </c>
      <c r="L1241" s="6">
        <f>HYPERLINK("https://fin.land.naver.com/articles/2651693416", "매물Link")</f>
        <v/>
      </c>
      <c r="M1241" s="6">
        <f>HYPERLINK("https://map.naver.com/p/search/부강면 부강리 729", "지도Link")</f>
        <v/>
      </c>
      <c r="N1241" s="6">
        <f>HYPERLINK("http://www.eum.go.kr/web/ar/lu/luLandDet.jsp?pnu=3611033021107290000&amp;isNoScr=script&amp;mode=search", "토지이음")</f>
        <v/>
      </c>
      <c r="O1241" s="3" t="inlineStr">
        <is>
          <t>청담</t>
        </is>
      </c>
      <c r="P1241" s="4" t="n">
        <v>1</v>
      </c>
      <c r="Q1241" s="4" t="n">
        <v>600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부강리 745</t>
        </is>
      </c>
      <c r="B1242" s="3" t="inlineStr">
        <is>
          <t>계획관리지역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50000</v>
      </c>
      <c r="G1242" s="4" t="n">
        <v>1421</v>
      </c>
      <c r="H1242" s="4" t="n">
        <v>430</v>
      </c>
      <c r="I1242" s="5" t="n">
        <v>116.3</v>
      </c>
      <c r="J1242" s="5" t="n">
        <v>36.3</v>
      </c>
      <c r="K1242" s="3" t="inlineStr">
        <is>
          <t>세종 부강면 진입로 있는 토지,전기 인입등 투자용 토지</t>
        </is>
      </c>
      <c r="L1242" s="6">
        <f>HYPERLINK("https://fin.land.naver.com/articles/2653416921", "매물Link")</f>
        <v/>
      </c>
      <c r="M1242" s="6">
        <f>HYPERLINK("https://map.naver.com/p/search/부강면 부강리 745", "지도Link")</f>
        <v/>
      </c>
      <c r="N1242" s="6">
        <f>HYPERLINK("http://www.eum.go.kr/web/ar/lu/luLandDet.jsp?pnu=3611033021107450000&amp;isNoScr=script&amp;mode=search", "토지이음")</f>
        <v/>
      </c>
      <c r="O1242" s="3" t="inlineStr">
        <is>
          <t>민트</t>
        </is>
      </c>
      <c r="P1242" s="4" t="n">
        <v>1</v>
      </c>
      <c r="Q1242" s="4" t="n">
        <v>1421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세로한면(불)</t>
        </is>
      </c>
    </row>
    <row r="1243">
      <c r="A1243" s="3" t="inlineStr">
        <is>
          <t>부강면 부강리 758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28000</v>
      </c>
      <c r="G1243" s="4" t="n">
        <v>634</v>
      </c>
      <c r="H1243" s="4" t="n">
        <v>192</v>
      </c>
      <c r="I1243" s="5" t="n">
        <v>145.8</v>
      </c>
      <c r="J1243" s="5" t="n">
        <v>40.8</v>
      </c>
      <c r="K1243" s="3" t="inlineStr">
        <is>
          <t>도로 인접</t>
        </is>
      </c>
      <c r="L1243" s="6">
        <f>HYPERLINK("https://fin.land.naver.com/articles/2654420621", "매물Link")</f>
        <v/>
      </c>
      <c r="M1243" s="6">
        <f>HYPERLINK("https://map.naver.com/p/search/부강면 부강리 758", "지도Link")</f>
        <v/>
      </c>
      <c r="N1243" s="6">
        <f>HYPERLINK("http://www.eum.go.kr/web/ar/lu/luLandDet.jsp?pnu=3611033021107580000&amp;isNoScr=script&amp;mode=search", "토지이음")</f>
        <v/>
      </c>
      <c r="O1243" s="3" t="inlineStr">
        <is>
          <t>세종제일1</t>
        </is>
      </c>
      <c r="P1243" s="4" t="n">
        <v>4</v>
      </c>
      <c r="Q1243" s="4" t="n">
        <v>631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825-4</t>
        </is>
      </c>
      <c r="B1244" s="3" t="inlineStr">
        <is>
          <t>생산녹지지역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45000</v>
      </c>
      <c r="G1244" s="4" t="n">
        <v>1337</v>
      </c>
      <c r="H1244" s="4" t="n">
        <v>404</v>
      </c>
      <c r="I1244" s="5" t="n">
        <v>111.4</v>
      </c>
      <c r="J1244" s="5" t="n">
        <v>30.9</v>
      </c>
      <c r="K1244" s="3" t="inlineStr">
        <is>
          <t>급매,가격협의가능, 대토 또는 투자로 추천</t>
        </is>
      </c>
      <c r="L1244" s="6">
        <f>HYPERLINK("https://fin.land.naver.com/articles/2652281535", "매물Link")</f>
        <v/>
      </c>
      <c r="M1244" s="6">
        <f>HYPERLINK("https://map.naver.com/p/search/부강면 부강리 825-4", "지도Link")</f>
        <v/>
      </c>
      <c r="N1244" s="6">
        <f>HYPERLINK("http://www.eum.go.kr/web/ar/lu/luLandDet.jsp?pnu=3611033021108250004&amp;isNoScr=script&amp;mode=search",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1337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맹지</t>
        </is>
      </c>
    </row>
    <row r="1245">
      <c r="A1245" s="3" t="inlineStr">
        <is>
          <t>부강면 부강리 885</t>
        </is>
      </c>
      <c r="B1245" s="3" t="inlineStr">
        <is>
          <t>생산녹지지역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279000</v>
      </c>
      <c r="G1245" s="4" t="n">
        <v>3075</v>
      </c>
      <c r="H1245" s="4" t="n">
        <v>930</v>
      </c>
      <c r="I1245" s="5" t="n">
        <v>300</v>
      </c>
      <c r="J1245" s="5" t="n">
        <v>34.4</v>
      </c>
      <c r="K1245" s="3" t="inlineStr">
        <is>
          <t>도시지역,2차선접,땅모양좋아요</t>
        </is>
      </c>
      <c r="L1245" s="6">
        <f>HYPERLINK("https://fin.land.naver.com/articles/2656225441", "매물Link")</f>
        <v/>
      </c>
      <c r="M1245" s="6">
        <f>HYPERLINK("https://map.naver.com/p/search/부강면 부강리 885", "지도Link")</f>
        <v/>
      </c>
      <c r="N1245" s="6">
        <f>HYPERLINK("http://www.eum.go.kr/web/ar/lu/luLandDet.jsp?pnu=3611033021108850000&amp;isNoScr=script&amp;mode=search",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833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부강면 부강리 888-1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1758</v>
      </c>
      <c r="H1246" s="4" t="n">
        <v>532</v>
      </c>
      <c r="I1246" s="5" t="n">
        <v>109</v>
      </c>
      <c r="J1246" s="5" t="n">
        <v>38.9</v>
      </c>
      <c r="K1246" s="3" t="inlineStr">
        <is>
          <t>행복도시완성시  큰그림을 그릴수있는 위치의 토지로 주택이나 장기투자</t>
        </is>
      </c>
      <c r="L1246" s="6">
        <f>HYPERLINK("https://fin.land.naver.com/articles/2652072270", "매물Link")</f>
        <v/>
      </c>
      <c r="M1246" s="6">
        <f>HYPERLINK("https://map.naver.com/p/search/부강면 부강리 888-1", "지도Link")</f>
        <v/>
      </c>
      <c r="N1246" s="6">
        <f>HYPERLINK("http://www.eum.go.kr/web/ar/lu/luLandDet.jsp?pnu=3611033021108880001&amp;isNoScr=script&amp;mode=search", "토지이음")</f>
        <v/>
      </c>
      <c r="O1246" s="3" t="inlineStr">
        <is>
          <t>연동스카이</t>
        </is>
      </c>
      <c r="P1246" s="4" t="n">
        <v>1</v>
      </c>
      <c r="Q1246" s="4" t="n">
        <v>1759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951</t>
        </is>
      </c>
      <c r="B1247" s="3" t="inlineStr">
        <is>
          <t>제2종일반주거지역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288</v>
      </c>
      <c r="H1247" s="4" t="n">
        <v>87</v>
      </c>
      <c r="I1247" s="5" t="n">
        <v>402.3</v>
      </c>
      <c r="J1247" s="5" t="n">
        <v>172.3</v>
      </c>
      <c r="K1247" s="3" t="inlineStr">
        <is>
          <t>급매, 절충가능한 다가구 주택 부지로 적합한 제2종일반주거지역의 토지</t>
        </is>
      </c>
      <c r="L1247" s="6">
        <f>HYPERLINK("https://fin.land.naver.com/articles/2653441628", "매물Link")</f>
        <v/>
      </c>
      <c r="M1247" s="6">
        <f>HYPERLINK("https://map.naver.com/p/search/부강면 부강리 951", "지도Link")</f>
        <v/>
      </c>
      <c r="N1247" s="6">
        <f>HYPERLINK("http://www.eum.go.kr/web/ar/lu/luLandDet.jsp?pnu=3611033021109510000&amp;isNoScr=script&amp;mode=search", "토지이음")</f>
        <v/>
      </c>
      <c r="O1247" s="3" t="inlineStr">
        <is>
          <t>스마일세종</t>
        </is>
      </c>
      <c r="P1247" s="4" t="n">
        <v>1</v>
      </c>
      <c r="Q1247" s="4" t="n">
        <v>288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961-1</t>
        </is>
      </c>
      <c r="B1248" s="3" t="inlineStr">
        <is>
          <t>제2종일반주거지역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200000</v>
      </c>
      <c r="G1248" s="4" t="n">
        <v>1220</v>
      </c>
      <c r="H1248" s="4" t="n">
        <v>369</v>
      </c>
      <c r="I1248" s="5" t="n">
        <v>542</v>
      </c>
      <c r="J1248" s="5" t="n">
        <v>172.3</v>
      </c>
      <c r="K1248" s="3" t="inlineStr">
        <is>
          <t>부강리 제2종일반주거지역으로 다가구 주택을 지으면 수익율 좋은 토지입니다</t>
        </is>
      </c>
      <c r="L1248" s="6">
        <f>HYPERLINK("https://fin.land.naver.com/articles/2651928780", "매물Link")</f>
        <v/>
      </c>
      <c r="M1248" s="6">
        <f>HYPERLINK("https://map.naver.com/p/search/부강면 부강리 961-1", "지도Link")</f>
        <v/>
      </c>
      <c r="N1248" s="6">
        <f>HYPERLINK("http://www.eum.go.kr/web/ar/lu/luLandDet.jsp?pnu=3611033021109610001&amp;isNoScr=script&amp;mode=search",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1049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967-4</t>
        </is>
      </c>
      <c r="B1249" s="3" t="inlineStr">
        <is>
          <t>제2종일반주거지역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120000</v>
      </c>
      <c r="G1249" s="4" t="n">
        <v>990</v>
      </c>
      <c r="H1249" s="4" t="n">
        <v>299</v>
      </c>
      <c r="I1249" s="5" t="n">
        <v>401.3</v>
      </c>
      <c r="J1249" s="5" t="n">
        <v>179.6</v>
      </c>
      <c r="K1249" s="3" t="inlineStr">
        <is>
          <t>nan</t>
        </is>
      </c>
      <c r="L1249" s="6">
        <f>HYPERLINK("https://fin.land.naver.com/articles/2653453130", "매물Link")</f>
        <v/>
      </c>
      <c r="M1249" s="6">
        <f>HYPERLINK("https://map.naver.com/p/search/부강면 부강리 967-4", "지도Link")</f>
        <v/>
      </c>
      <c r="N1249" s="6">
        <f>HYPERLINK("http://www.eum.go.kr/web/ar/lu/luLandDet.jsp?pnu=3611033021109670004&amp;isNoScr=script&amp;mode=search", "토지이음")</f>
        <v/>
      </c>
      <c r="O1249" s="3" t="inlineStr">
        <is>
          <t>안성대로</t>
        </is>
      </c>
      <c r="P1249" s="4" t="n">
        <v>1</v>
      </c>
      <c r="Q1249" s="4" t="n">
        <v>990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973-26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40000</v>
      </c>
      <c r="G1250" s="4" t="n">
        <v>331</v>
      </c>
      <c r="H1250" s="4" t="n">
        <v>100</v>
      </c>
      <c r="I1250" s="5" t="n">
        <v>400</v>
      </c>
      <c r="J1250" s="5" t="n">
        <v>179.6</v>
      </c>
      <c r="K1250" s="3" t="inlineStr">
        <is>
          <t>8미터 계획도로접한 2종일반주거 다가구,상가 건축가능 오배수연결완료됨</t>
        </is>
      </c>
      <c r="L1250" s="6">
        <f>HYPERLINK("https://fin.land.naver.com/articles/2652983558", "매물Link")</f>
        <v/>
      </c>
      <c r="M1250" s="6">
        <f>HYPERLINK("https://map.naver.com/p/search/부강면 부강리 973-26", "지도Link")</f>
        <v/>
      </c>
      <c r="N1250" s="6">
        <f>HYPERLINK("http://www.eum.go.kr/web/ar/lu/luLandDet.jsp?pnu=3611033021109730026&amp;isNoScr=script&amp;mode=search", "토지이음")</f>
        <v/>
      </c>
      <c r="O1250" s="3" t="inlineStr">
        <is>
          <t>향기나는방</t>
        </is>
      </c>
      <c r="P1250" s="4" t="n">
        <v>1</v>
      </c>
      <c r="Q1250" s="4" t="n">
        <v>311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973-3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35000</v>
      </c>
      <c r="G1251" s="4" t="n">
        <v>263</v>
      </c>
      <c r="H1251" s="4" t="n">
        <v>80</v>
      </c>
      <c r="I1251" s="5" t="n">
        <v>437.5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HYPERLINK("https://fin.land.naver.com/articles/2652983187", "매물Link")</f>
        <v/>
      </c>
      <c r="M1251" s="6">
        <f>HYPERLINK("https://map.naver.com/p/search/부강면 부강리 973-3", "지도Link")</f>
        <v/>
      </c>
      <c r="N1251" s="6">
        <f>HYPERLINK("http://www.eum.go.kr/web/ar/lu/luLandDet.jsp?pnu=3611033021109730003&amp;isNoScr=script&amp;mode=search",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263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산수리 128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42500</v>
      </c>
      <c r="G1252" s="4" t="n">
        <v>934</v>
      </c>
      <c r="H1252" s="4" t="n">
        <v>283</v>
      </c>
      <c r="I1252" s="5" t="n">
        <v>150.2</v>
      </c>
      <c r="J1252" s="5" t="n">
        <v>53.5</v>
      </c>
      <c r="K1252" s="3" t="inlineStr">
        <is>
          <t>계획관리 대지 전원주택용 투자처로 추천</t>
        </is>
      </c>
      <c r="L1252" s="6">
        <f>HYPERLINK("https://fin.land.naver.com/articles/2652998399", "매물Link")</f>
        <v/>
      </c>
      <c r="M1252" s="6">
        <f>HYPERLINK("https://map.naver.com/p/search/부강면 산수리 128", "지도Link")</f>
        <v/>
      </c>
      <c r="N1252" s="6">
        <f>HYPERLINK("http://www.eum.go.kr/web/ar/lu/luLandDet.jsp?pnu=3611033023101280000&amp;isNoScr=script&amp;mode=search", "토지이음")</f>
        <v/>
      </c>
      <c r="O1252" s="3" t="inlineStr">
        <is>
          <t>뉴엘리트탑</t>
        </is>
      </c>
      <c r="P1252" s="4" t="n">
        <v>1</v>
      </c>
      <c r="Q1252" s="4" t="n">
        <v>934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부강면 산수리 162-1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42000</v>
      </c>
      <c r="G1253" s="4" t="n">
        <v>1712</v>
      </c>
      <c r="H1253" s="4" t="n">
        <v>518</v>
      </c>
      <c r="I1253" s="5" t="n">
        <v>81.09999999999999</v>
      </c>
      <c r="J1253" s="5" t="n">
        <v>35.2</v>
      </c>
      <c r="K1253" s="3" t="inlineStr">
        <is>
          <t>식재된 나무 포함한 가격이며, 정남향의 아늑한토지</t>
        </is>
      </c>
      <c r="L1253" s="6">
        <f>HYPERLINK("https://fin.land.naver.com/articles/2652065200", "매물Link")</f>
        <v/>
      </c>
      <c r="M1253" s="6">
        <f>HYPERLINK("https://map.naver.com/p/search/부강면 산수리 162-1", "지도Link")</f>
        <v/>
      </c>
      <c r="N1253" s="6">
        <f>HYPERLINK("http://www.eum.go.kr/web/ar/lu/luLandDet.jsp?pnu=3611033023101620001&amp;isNoScr=script&amp;mode=search", "토지이음")</f>
        <v/>
      </c>
      <c r="O1253" s="3" t="inlineStr">
        <is>
          <t>연동스카이</t>
        </is>
      </c>
      <c r="P1253" s="4" t="n">
        <v>1</v>
      </c>
      <c r="Q1253" s="4" t="n">
        <v>1228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207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38000</v>
      </c>
      <c r="G1254" s="4" t="n">
        <v>943</v>
      </c>
      <c r="H1254" s="4" t="n">
        <v>285</v>
      </c>
      <c r="I1254" s="5" t="n">
        <v>133.3</v>
      </c>
      <c r="J1254" s="5" t="n">
        <v>32.8</v>
      </c>
      <c r="K1254" s="3" t="inlineStr">
        <is>
          <t>계획관리 투자 또는 전원생활 최적지로 강력 추천</t>
        </is>
      </c>
      <c r="L1254" s="6">
        <f>HYPERLINK("https://fin.land.naver.com/articles/2655119321", "매물Link")</f>
        <v/>
      </c>
      <c r="M1254" s="6">
        <f>HYPERLINK("https://map.naver.com/p/search/부강면 산수리 207", "지도Link")</f>
        <v/>
      </c>
      <c r="N1254" s="6">
        <f>HYPERLINK("http://www.eum.go.kr/web/ar/lu/luLandDet.jsp?pnu=3611033023102070000&amp;isNoScr=script&amp;mode=search", "토지이음")</f>
        <v/>
      </c>
      <c r="O1254" s="3" t="inlineStr">
        <is>
          <t>뉴엘리트탑</t>
        </is>
      </c>
      <c r="P1254" s="4" t="n">
        <v>1</v>
      </c>
      <c r="Q1254" s="4" t="n">
        <v>943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세로각지(불)</t>
        </is>
      </c>
    </row>
    <row r="1255">
      <c r="A1255" s="3" t="inlineStr">
        <is>
          <t>부강면 산수리 243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100000</v>
      </c>
      <c r="G1255" s="4" t="n">
        <v>5421</v>
      </c>
      <c r="H1255" s="4" t="n">
        <v>1640</v>
      </c>
      <c r="I1255" s="5" t="n">
        <v>61</v>
      </c>
      <c r="J1255" s="5" t="n">
        <v>64.59999999999999</v>
      </c>
      <c r="K1255" s="3" t="inlineStr">
        <is>
          <t>주택허가축사경작지 일괄, 축산승계귀농농장 추천</t>
        </is>
      </c>
      <c r="L1255" s="6">
        <f>HYPERLINK("https://fin.land.naver.com/articles/2655770988", "매물Link")</f>
        <v/>
      </c>
      <c r="M1255" s="6">
        <f>HYPERLINK("https://map.naver.com/p/search/부강면 산수리 243", "지도Link")</f>
        <v/>
      </c>
      <c r="N1255" s="6">
        <f>HYPERLINK("http://www.eum.go.kr/web/ar/lu/luLandDet.jsp?pnu=3611033023102430000&amp;isNoScr=script&amp;mode=search",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660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부강면 산수리 366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40000</v>
      </c>
      <c r="G1256" s="4" t="n">
        <v>3719</v>
      </c>
      <c r="H1256" s="4" t="n">
        <v>1125</v>
      </c>
      <c r="I1256" s="5" t="n">
        <v>35.6</v>
      </c>
      <c r="J1256" s="5" t="n">
        <v>17.6</v>
      </c>
      <c r="K1256" s="3" t="inlineStr">
        <is>
          <t>nan</t>
        </is>
      </c>
      <c r="L1256" s="6">
        <f>HYPERLINK("https://fin.land.naver.com/articles/2655501246", "매물Link")</f>
        <v/>
      </c>
      <c r="M1256" s="6">
        <f>HYPERLINK("https://map.naver.com/p/search/부강면 산수리 366", "지도Link")</f>
        <v/>
      </c>
      <c r="N1256" s="6">
        <f>HYPERLINK("http://www.eum.go.kr/web/ar/lu/luLandDet.jsp?pnu=3611033023103660000&amp;isNoScr=script&amp;mode=search", "토지이음")</f>
        <v/>
      </c>
      <c r="O1256" s="3" t="inlineStr">
        <is>
          <t>행복가득한</t>
        </is>
      </c>
      <c r="P1256" s="4" t="n">
        <v>1</v>
      </c>
      <c r="Q1256" s="4" t="n">
        <v>3719.7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세로한면(불)</t>
        </is>
      </c>
    </row>
    <row r="1257">
      <c r="A1257" s="3" t="inlineStr">
        <is>
          <t>부강면 산수리 539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40000</v>
      </c>
      <c r="G1257" s="4" t="n">
        <v>2201</v>
      </c>
      <c r="H1257" s="4" t="n">
        <v>666</v>
      </c>
      <c r="I1257" s="5" t="n">
        <v>60.1</v>
      </c>
      <c r="J1257" s="5" t="n">
        <v>17.9</v>
      </c>
      <c r="K1257" s="3" t="inlineStr">
        <is>
          <t>세종시 부강면에 위치한 토지 매매</t>
        </is>
      </c>
      <c r="L1257" s="6">
        <f>HYPERLINK("https://fin.land.naver.com/articles/2653396017", "매물Link")</f>
        <v/>
      </c>
      <c r="M1257" s="6">
        <f>HYPERLINK("https://map.naver.com/p/search/부강면 산수리 539", "지도Link")</f>
        <v/>
      </c>
      <c r="N1257" s="6">
        <f>HYPERLINK("http://www.eum.go.kr/web/ar/lu/luLandDet.jsp?pnu=3611033023105390000&amp;isNoScr=script&amp;mode=search", "토지이음")</f>
        <v/>
      </c>
      <c r="O1257" s="3" t="inlineStr">
        <is>
          <t>대지</t>
        </is>
      </c>
      <c r="P1257" s="4" t="n">
        <v>1</v>
      </c>
      <c r="Q1257" s="4" t="n">
        <v>2201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부강면 산수리 92-2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35000</v>
      </c>
      <c r="G1258" s="4" t="n">
        <v>1352</v>
      </c>
      <c r="H1258" s="4" t="n">
        <v>409</v>
      </c>
      <c r="I1258" s="5" t="n">
        <v>85.59999999999999</v>
      </c>
      <c r="J1258" s="5" t="n">
        <v>37.2</v>
      </c>
      <c r="K1258" s="3" t="inlineStr">
        <is>
          <t>산수리 계획관리지역으로 전과 대로 이뤄진 2필지 급매</t>
        </is>
      </c>
      <c r="L1258" s="6">
        <f>HYPERLINK("https://fin.land.naver.com/articles/2652535526", "매물Link")</f>
        <v/>
      </c>
      <c r="M1258" s="6">
        <f>HYPERLINK("https://map.naver.com/p/search/부강면 산수리 92-2", "지도Link")</f>
        <v/>
      </c>
      <c r="N1258" s="6">
        <f>HYPERLINK("http://www.eum.go.kr/web/ar/lu/luLandDet.jsp?pnu=3611033023100920002&amp;isNoScr=script&amp;mode=search",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939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산수리 92-2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대</t>
        </is>
      </c>
      <c r="E1259" s="3" t="inlineStr">
        <is>
          <t>매매</t>
        </is>
      </c>
      <c r="F1259" s="4" t="n">
        <v>35000</v>
      </c>
      <c r="G1259" s="4" t="n">
        <v>1352</v>
      </c>
      <c r="H1259" s="4" t="n">
        <v>409</v>
      </c>
      <c r="I1259" s="5" t="n">
        <v>85.59999999999999</v>
      </c>
      <c r="J1259" s="5" t="n">
        <v>37.2</v>
      </c>
      <c r="K1259" s="3" t="inlineStr">
        <is>
          <t>산수리 계획관리지역 대지 전 매매</t>
        </is>
      </c>
      <c r="L1259" s="6">
        <f>HYPERLINK("https://fin.land.naver.com/articles/2652837621", "매물Link")</f>
        <v/>
      </c>
      <c r="M1259" s="6">
        <f>HYPERLINK("https://map.naver.com/p/search/부강면 산수리 92-2", "지도Link")</f>
        <v/>
      </c>
      <c r="N1259" s="6">
        <f>HYPERLINK("http://www.eum.go.kr/web/ar/lu/luLandDet.jsp?pnu=3611033023100920002&amp;isNoScr=script&amp;mode=search", "토지이음")</f>
        <v/>
      </c>
      <c r="O1259" s="3" t="inlineStr">
        <is>
          <t>진성</t>
        </is>
      </c>
      <c r="P1259" s="4" t="n">
        <v>1</v>
      </c>
      <c r="Q1259" s="4" t="n">
        <v>939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부강면 산수리 산47-10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23000</v>
      </c>
      <c r="G1260" s="4" t="n">
        <v>606</v>
      </c>
      <c r="H1260" s="4" t="n">
        <v>183</v>
      </c>
      <c r="I1260" s="5" t="n">
        <v>125.7</v>
      </c>
      <c r="J1260" s="5" t="n">
        <v>7.6</v>
      </c>
      <c r="K1260" s="3" t="inlineStr">
        <is>
          <t>nan</t>
        </is>
      </c>
      <c r="L1260" s="6">
        <f>HYPERLINK("https://fin.land.naver.com/articles/2654002362", "매물Link")</f>
        <v/>
      </c>
      <c r="M1260" s="6">
        <f>HYPERLINK("https://map.naver.com/p/search/부강면 산수리 산47-10", "지도Link")</f>
        <v/>
      </c>
      <c r="N1260" s="6">
        <f>HYPERLINK("http://www.eum.go.kr/web/ar/lu/luLandDet.jsp?pnu=3611033023200470010&amp;isNoScr=script&amp;mode=search", "토지이음")</f>
        <v/>
      </c>
      <c r="O1260" s="3" t="inlineStr">
        <is>
          <t>세종운좋은</t>
        </is>
      </c>
      <c r="P1260" s="4" t="n">
        <v>1</v>
      </c>
      <c r="Q1260" s="4" t="n">
        <v>376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부강면 행산리 118-11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16000</v>
      </c>
      <c r="G1261" s="4" t="n">
        <v>155</v>
      </c>
      <c r="H1261" s="4" t="n">
        <v>47</v>
      </c>
      <c r="I1261" s="5" t="n">
        <v>340.4</v>
      </c>
      <c r="J1261" s="5" t="n">
        <v>53.8</v>
      </c>
      <c r="K1261" s="3" t="inlineStr">
        <is>
          <t>nan</t>
        </is>
      </c>
      <c r="L1261" s="6">
        <f>HYPERLINK("https://fin.land.naver.com/articles/2653076920", "매물Link")</f>
        <v/>
      </c>
      <c r="M1261" s="6">
        <f>HYPERLINK("https://map.naver.com/p/search/부강면 행산리 118-11", "지도Link")</f>
        <v/>
      </c>
      <c r="N1261" s="6">
        <f>HYPERLINK("http://www.eum.go.kr/web/ar/lu/luLandDet.jsp?pnu=3611033022101180011&amp;isNoScr=script&amp;mode=search", "토지이음")</f>
        <v/>
      </c>
      <c r="O1261" s="3" t="inlineStr">
        <is>
          <t>세종제일1</t>
        </is>
      </c>
      <c r="P1261" s="4" t="n">
        <v>1</v>
      </c>
      <c r="Q1261" s="4" t="n">
        <v>155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부강면 행산리 141-11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18800</v>
      </c>
      <c r="G1262" s="4" t="n">
        <v>1130</v>
      </c>
      <c r="H1262" s="4" t="n">
        <v>342</v>
      </c>
      <c r="I1262" s="5" t="n">
        <v>55</v>
      </c>
      <c r="J1262" s="5" t="n">
        <v>25</v>
      </c>
      <c r="K1262" s="3" t="inlineStr">
        <is>
          <t>nan</t>
        </is>
      </c>
      <c r="L1262" s="6">
        <f>HYPERLINK("https://fin.land.naver.com/articles/2653999588", "매물Link")</f>
        <v/>
      </c>
      <c r="M1262" s="6">
        <f>HYPERLINK("https://map.naver.com/p/search/부강면 행산리 141-11", "지도Link")</f>
        <v/>
      </c>
      <c r="N1262" s="6">
        <f>HYPERLINK("http://www.eum.go.kr/web/ar/lu/luLandDet.jsp?pnu=3611033022101410011&amp;isNoScr=script&amp;mode=search", "토지이음")</f>
        <v/>
      </c>
      <c r="O1262" s="3" t="inlineStr">
        <is>
          <t>세종운좋은</t>
        </is>
      </c>
      <c r="P1262" s="4" t="n">
        <v>1</v>
      </c>
      <c r="Q1262" s="4" t="n">
        <v>1130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부강면 행산리 141-11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33900</v>
      </c>
      <c r="G1263" s="4" t="n">
        <v>1130</v>
      </c>
      <c r="H1263" s="4" t="n">
        <v>342</v>
      </c>
      <c r="I1263" s="5" t="n">
        <v>99.09999999999999</v>
      </c>
      <c r="J1263" s="5" t="n">
        <v>25</v>
      </c>
      <c r="K1263" s="3" t="inlineStr">
        <is>
          <t>농사짓는 도로 인접</t>
        </is>
      </c>
      <c r="L1263" s="6">
        <f>HYPERLINK("https://fin.land.naver.com/articles/2653077327", "매물Link")</f>
        <v/>
      </c>
      <c r="M1263" s="6">
        <f>HYPERLINK("https://map.naver.com/p/search/부강면 행산리 141-11", "지도Link")</f>
        <v/>
      </c>
      <c r="N1263" s="6">
        <f>HYPERLINK("http://www.eum.go.kr/web/ar/lu/luLandDet.jsp?pnu=3611033022101410011&amp;isNoScr=script&amp;mode=search", "토지이음")</f>
        <v/>
      </c>
      <c r="O1263" s="3" t="inlineStr">
        <is>
          <t>세종제일1</t>
        </is>
      </c>
      <c r="P1263" s="4" t="n">
        <v>1</v>
      </c>
      <c r="Q1263" s="4" t="n">
        <v>1130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162-3</t>
        </is>
      </c>
      <c r="B1264" s="3" t="inlineStr">
        <is>
          <t>계획관리지역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504000</v>
      </c>
      <c r="G1264" s="4" t="n">
        <v>11751</v>
      </c>
      <c r="H1264" s="4" t="n">
        <v>3555</v>
      </c>
      <c r="I1264" s="5" t="n">
        <v>141.8</v>
      </c>
      <c r="J1264" s="5" t="n">
        <v>41.2</v>
      </c>
      <c r="K1264" s="3" t="inlineStr">
        <is>
          <t>세종시 부근에서 공장부지로 최상</t>
        </is>
      </c>
      <c r="L1264" s="6">
        <f>HYPERLINK("https://fin.land.naver.com/articles/2653810262", "매물Link")</f>
        <v/>
      </c>
      <c r="M1264" s="6">
        <f>HYPERLINK("https://map.naver.com/p/search/부강면 행산리 162-3", "지도Link")</f>
        <v/>
      </c>
      <c r="N1264" s="6">
        <f>HYPERLINK("http://www.eum.go.kr/web/ar/lu/luLandDet.jsp?pnu=3611033022101620003&amp;isNoScr=script&amp;mode=search", "토지이음")</f>
        <v/>
      </c>
      <c r="O1264" s="3" t="inlineStr">
        <is>
          <t>금화</t>
        </is>
      </c>
      <c r="P1264" s="4" t="n">
        <v>1</v>
      </c>
      <c r="Q1264" s="4" t="n">
        <v>8024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부강면 행산리 162-3</t>
        </is>
      </c>
      <c r="B1265" s="3" t="inlineStr">
        <is>
          <t>계획관리지역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390000</v>
      </c>
      <c r="G1265" s="4" t="n">
        <v>8024</v>
      </c>
      <c r="H1265" s="4" t="n">
        <v>2427</v>
      </c>
      <c r="I1265" s="5" t="n">
        <v>160.7</v>
      </c>
      <c r="J1265" s="5" t="n">
        <v>41.2</v>
      </c>
      <c r="K1265" s="3" t="inlineStr">
        <is>
          <t>공장 및 창고용지로 추천합니다</t>
        </is>
      </c>
      <c r="L1265" s="6">
        <f>HYPERLINK("https://fin.land.naver.com/articles/2653810140", "매물Link")</f>
        <v/>
      </c>
      <c r="M1265" s="6">
        <f>HYPERLINK("https://map.naver.com/p/search/부강면 행산리 162-3", "지도Link")</f>
        <v/>
      </c>
      <c r="N1265" s="6">
        <f>HYPERLINK("http://www.eum.go.kr/web/ar/lu/luLandDet.jsp?pnu=3611033022101620003&amp;isNoScr=script&amp;mode=search", "토지이음")</f>
        <v/>
      </c>
      <c r="O1265" s="3" t="inlineStr">
        <is>
          <t>금화</t>
        </is>
      </c>
      <c r="P1265" s="4" t="n">
        <v>1</v>
      </c>
      <c r="Q1265" s="4" t="n">
        <v>8024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부강면 행산리 296</t>
        </is>
      </c>
      <c r="B1266" s="3" t="inlineStr">
        <is>
          <t>계획관리지역</t>
        </is>
      </c>
      <c r="C1266" s="3" t="inlineStr">
        <is>
          <t>목장용지</t>
        </is>
      </c>
      <c r="D1266" s="3" t="inlineStr">
        <is>
          <t>목장용지</t>
        </is>
      </c>
      <c r="E1266" s="3" t="inlineStr">
        <is>
          <t>매매</t>
        </is>
      </c>
      <c r="F1266" s="4" t="n">
        <v>196500</v>
      </c>
      <c r="G1266" s="4" t="n">
        <v>2713</v>
      </c>
      <c r="H1266" s="4" t="n">
        <v>821</v>
      </c>
      <c r="I1266" s="5" t="n">
        <v>239.3</v>
      </c>
      <c r="J1266" s="5" t="n">
        <v>71.5</v>
      </c>
      <c r="K1266" s="3" t="inlineStr">
        <is>
          <t>부강면 계획관리지역 목장용지, 토지 5,143.4제곱미터 매매</t>
        </is>
      </c>
      <c r="L1266" s="6">
        <f>HYPERLINK("https://fin.land.naver.com/articles/2654690988", "매물Link")</f>
        <v/>
      </c>
      <c r="M1266" s="6">
        <f>HYPERLINK("https://map.naver.com/p/search/부강면 행산리 296", "지도Link")</f>
        <v/>
      </c>
      <c r="N1266" s="6">
        <f>HYPERLINK("http://www.eum.go.kr/web/ar/lu/luLandDet.jsp?pnu=3611033022102960000&amp;isNoScr=script&amp;mode=search", "토지이음")</f>
        <v/>
      </c>
      <c r="O1266" s="3" t="inlineStr">
        <is>
          <t>진행</t>
        </is>
      </c>
      <c r="P1266" s="4" t="n">
        <v>2</v>
      </c>
      <c r="Q1266" s="4" t="n">
        <v>2713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행산리 347-3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124000</v>
      </c>
      <c r="G1267" s="4" t="n">
        <v>4099</v>
      </c>
      <c r="H1267" s="4" t="n">
        <v>1240</v>
      </c>
      <c r="I1267" s="5" t="n">
        <v>100</v>
      </c>
      <c r="J1267" s="5" t="n">
        <v>24.8</v>
      </c>
      <c r="K1267" s="3" t="inlineStr">
        <is>
          <t>적극조율가능 도로접함 계획관리 골프장인접</t>
        </is>
      </c>
      <c r="L1267" s="6">
        <f>HYPERLINK("https://fin.land.naver.com/articles/2654854859", "매물Link")</f>
        <v/>
      </c>
      <c r="M1267" s="6">
        <f>HYPERLINK("https://map.naver.com/p/search/부강면 행산리 347-3", "지도Link")</f>
        <v/>
      </c>
      <c r="N1267" s="6">
        <f>HYPERLINK("http://www.eum.go.kr/web/ar/lu/luLandDet.jsp?pnu=3611033022103470003&amp;isNoScr=script&amp;mode=search", "토지이음")</f>
        <v/>
      </c>
      <c r="O1267" s="3" t="inlineStr">
        <is>
          <t>세종스타</t>
        </is>
      </c>
      <c r="P1267" s="4" t="n">
        <v>1</v>
      </c>
      <c r="Q1267" s="4" t="n">
        <v>4099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행산리 389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52000</v>
      </c>
      <c r="G1268" s="4" t="n">
        <v>1725</v>
      </c>
      <c r="H1268" s="4" t="n">
        <v>522</v>
      </c>
      <c r="I1268" s="5" t="n">
        <v>99.59999999999999</v>
      </c>
      <c r="J1268" s="5" t="n">
        <v>24.8</v>
      </c>
      <c r="K1268" s="3" t="inlineStr">
        <is>
          <t>계획관리지역의 과수원으로 전기 및 인터넷, 상수도 배수시설이 완비된 토지</t>
        </is>
      </c>
      <c r="L1268" s="6">
        <f>HYPERLINK("https://fin.land.naver.com/articles/2655802258", "매물Link")</f>
        <v/>
      </c>
      <c r="M1268" s="6">
        <f>HYPERLINK("https://map.naver.com/p/search/부강면 행산리 389", "지도Link")</f>
        <v/>
      </c>
      <c r="N1268" s="6">
        <f>HYPERLINK("http://www.eum.go.kr/web/ar/lu/luLandDet.jsp?pnu=3611033022103890000&amp;isNoScr=script&amp;mode=search", "토지이음")</f>
        <v/>
      </c>
      <c r="O1268" s="3" t="inlineStr">
        <is>
          <t>스마일세종</t>
        </is>
      </c>
      <c r="P1268" s="4" t="n">
        <v>1</v>
      </c>
      <c r="Q1268" s="4" t="n">
        <v>1725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행산리 389</t>
        </is>
      </c>
      <c r="B1269" s="3" t="inlineStr">
        <is>
          <t>계획관리지역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52000</v>
      </c>
      <c r="G1269" s="4" t="n">
        <v>1725</v>
      </c>
      <c r="H1269" s="4" t="n">
        <v>522</v>
      </c>
      <c r="I1269" s="5" t="n">
        <v>99.59999999999999</v>
      </c>
      <c r="J1269" s="5" t="n">
        <v>24.8</v>
      </c>
      <c r="K1269" s="3" t="inlineStr">
        <is>
          <t>급매,도로접한 계획관리지역,다용도 사용목적 가능,투자용 추천</t>
        </is>
      </c>
      <c r="L1269" s="6">
        <f>HYPERLINK("https://fin.land.naver.com/articles/2655301464", "매물Link")</f>
        <v/>
      </c>
      <c r="M1269" s="6">
        <f>HYPERLINK("https://map.naver.com/p/search/부강면 행산리 389", "지도Link")</f>
        <v/>
      </c>
      <c r="N1269" s="6">
        <f>HYPERLINK("http://www.eum.go.kr/web/ar/lu/luLandDet.jsp?pnu=3611033022103890000&amp;isNoScr=script&amp;mode=search", "토지이음")</f>
        <v/>
      </c>
      <c r="O1269" s="3" t="inlineStr">
        <is>
          <t>고운맘</t>
        </is>
      </c>
      <c r="P1269" s="4" t="n">
        <v>1</v>
      </c>
      <c r="Q1269" s="4" t="n">
        <v>1725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행산리 389-3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23600</v>
      </c>
      <c r="G1270" s="4" t="n">
        <v>779</v>
      </c>
      <c r="H1270" s="4" t="n">
        <v>236</v>
      </c>
      <c r="I1270" s="5" t="n">
        <v>100</v>
      </c>
      <c r="J1270" s="5" t="n">
        <v>24.8</v>
      </c>
      <c r="K1270" s="3" t="inlineStr">
        <is>
          <t>계획관리지역의 과수원으로 농촌 체류형 쉼터나 공방 및 전원주택지로 좋은</t>
        </is>
      </c>
      <c r="L1270" s="6">
        <f>HYPERLINK("https://fin.land.naver.com/articles/2656051456", "매물Link")</f>
        <v/>
      </c>
      <c r="M1270" s="6">
        <f>HYPERLINK("https://map.naver.com/p/search/부강면 행산리 389-3", "지도Link")</f>
        <v/>
      </c>
      <c r="N1270" s="6">
        <f>HYPERLINK("http://www.eum.go.kr/web/ar/lu/luLandDet.jsp?pnu=3611033022103890003&amp;isNoScr=script&amp;mode=search",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779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행산리 389-3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23600</v>
      </c>
      <c r="G1271" s="4" t="n">
        <v>779</v>
      </c>
      <c r="H1271" s="4" t="n">
        <v>236</v>
      </c>
      <c r="I1271" s="5" t="n">
        <v>100</v>
      </c>
      <c r="J1271" s="5" t="n">
        <v>24.8</v>
      </c>
      <c r="K1271" s="3" t="inlineStr">
        <is>
          <t>급매,도로접한 계획관리지역,다용도 사용목적 가능,투자용 추천</t>
        </is>
      </c>
      <c r="L1271" s="6">
        <f>HYPERLINK("https://fin.land.naver.com/articles/2654726224", "매물Link")</f>
        <v/>
      </c>
      <c r="M1271" s="6">
        <f>HYPERLINK("https://map.naver.com/p/search/부강면 행산리 389-3", "지도Link")</f>
        <v/>
      </c>
      <c r="N1271" s="6">
        <f>HYPERLINK("http://www.eum.go.kr/web/ar/lu/luLandDet.jsp?pnu=3611033022103890003&amp;isNoScr=script&amp;mode=search", "토지이음")</f>
        <v/>
      </c>
      <c r="O1271" s="3" t="inlineStr">
        <is>
          <t>고운맘</t>
        </is>
      </c>
      <c r="P1271" s="4" t="n">
        <v>1</v>
      </c>
      <c r="Q1271" s="4" t="n">
        <v>779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389-3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38500</v>
      </c>
      <c r="G1272" s="4" t="n">
        <v>1273</v>
      </c>
      <c r="H1272" s="4" t="n">
        <v>385</v>
      </c>
      <c r="I1272" s="5" t="n">
        <v>100</v>
      </c>
      <c r="J1272" s="5" t="n">
        <v>24.8</v>
      </c>
      <c r="K1272" s="3" t="inlineStr">
        <is>
          <t>감나무 블루베리 등이 식재되어 5생활권 5분거리 과수원</t>
        </is>
      </c>
      <c r="L1272" s="6">
        <f>HYPERLINK("https://fin.land.naver.com/articles/2653686533", "매물Link")</f>
        <v/>
      </c>
      <c r="M1272" s="6">
        <f>HYPERLINK("https://map.naver.com/p/search/부강면 행산리 389-3", "지도Link")</f>
        <v/>
      </c>
      <c r="N1272" s="6">
        <f>HYPERLINK("http://www.eum.go.kr/web/ar/lu/luLandDet.jsp?pnu=3611033022103890003&amp;isNoScr=script&amp;mode=search",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779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389-4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15000</v>
      </c>
      <c r="G1273" s="4" t="n">
        <v>494</v>
      </c>
      <c r="H1273" s="4" t="n">
        <v>149</v>
      </c>
      <c r="I1273" s="5" t="n">
        <v>100.7</v>
      </c>
      <c r="J1273" s="5" t="n">
        <v>24.8</v>
      </c>
      <c r="K1273" s="3" t="inlineStr">
        <is>
          <t>급매,도로접한 계획관리지역,다용도 사용목적 가능,투자용 추천</t>
        </is>
      </c>
      <c r="L1273" s="6">
        <f>HYPERLINK("https://fin.land.naver.com/articles/2654725590", "매물Link")</f>
        <v/>
      </c>
      <c r="M1273" s="6">
        <f>HYPERLINK("https://map.naver.com/p/search/부강면 행산리 389-4", "지도Link")</f>
        <v/>
      </c>
      <c r="N1273" s="6">
        <f>HYPERLINK("http://www.eum.go.kr/web/ar/lu/luLandDet.jsp?pnu=3611033022103890004&amp;isNoScr=script&amp;mode=search", "토지이음")</f>
        <v/>
      </c>
      <c r="O1273" s="3" t="inlineStr">
        <is>
          <t>고운맘</t>
        </is>
      </c>
      <c r="P1273" s="4" t="n">
        <v>1</v>
      </c>
      <c r="Q1273" s="4" t="n">
        <v>494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389-4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15000</v>
      </c>
      <c r="G1274" s="4" t="n">
        <v>494</v>
      </c>
      <c r="H1274" s="4" t="n">
        <v>149</v>
      </c>
      <c r="I1274" s="5" t="n">
        <v>100.7</v>
      </c>
      <c r="J1274" s="5" t="n">
        <v>24.8</v>
      </c>
      <c r="K1274" s="3" t="inlineStr">
        <is>
          <t>급매 계획관리지역의 과수원으로 전원주택이나 체류형쉼터 공방 등으로 이용</t>
        </is>
      </c>
      <c r="L1274" s="6">
        <f>HYPERLINK("https://fin.land.naver.com/articles/2656246657", "매물Link")</f>
        <v/>
      </c>
      <c r="M1274" s="6">
        <f>HYPERLINK("https://map.naver.com/p/search/부강면 행산리 389-4", "지도Link")</f>
        <v/>
      </c>
      <c r="N1274" s="6">
        <f>HYPERLINK("http://www.eum.go.kr/web/ar/lu/luLandDet.jsp?pnu=3611033022103890004&amp;isNoScr=script&amp;mode=search", "토지이음")</f>
        <v/>
      </c>
      <c r="O1274" s="3" t="inlineStr">
        <is>
          <t>스마일세종</t>
        </is>
      </c>
      <c r="P1274" s="4" t="n">
        <v>4</v>
      </c>
      <c r="Q1274" s="4" t="n">
        <v>494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447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24800</v>
      </c>
      <c r="G1275" s="4" t="n">
        <v>1490</v>
      </c>
      <c r="H1275" s="4" t="n">
        <v>451</v>
      </c>
      <c r="I1275" s="5" t="n">
        <v>55</v>
      </c>
      <c r="J1275" s="5" t="n">
        <v>18.3</v>
      </c>
      <c r="K1275" s="3" t="inlineStr">
        <is>
          <t>대토농지로 추천</t>
        </is>
      </c>
      <c r="L1275" s="6">
        <f>HYPERLINK("https://fin.land.naver.com/articles/2651993752", "매물Link")</f>
        <v/>
      </c>
      <c r="M1275" s="6">
        <f>HYPERLINK("https://map.naver.com/p/search/부강면 행산리 447", "지도Link")</f>
        <v/>
      </c>
      <c r="N1275" s="6">
        <f>HYPERLINK("http://www.eum.go.kr/web/ar/lu/luLandDet.jsp?pnu=3611033022104470000&amp;isNoScr=script&amp;mode=search", "토지이음")</f>
        <v/>
      </c>
      <c r="O1275" s="3" t="inlineStr">
        <is>
          <t>담뜰</t>
        </is>
      </c>
      <c r="P1275" s="4" t="n">
        <v>2</v>
      </c>
      <c r="Q1275" s="4" t="n">
        <v>1490.7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행산리 447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24800</v>
      </c>
      <c r="G1276" s="4" t="n">
        <v>1491</v>
      </c>
      <c r="H1276" s="4" t="n">
        <v>451</v>
      </c>
      <c r="I1276" s="5" t="n">
        <v>55</v>
      </c>
      <c r="J1276" s="5" t="n">
        <v>18.3</v>
      </c>
      <c r="K1276" s="3" t="inlineStr">
        <is>
          <t>매매가 할인2,200만원 대토농지</t>
        </is>
      </c>
      <c r="L1276" s="6">
        <f>HYPERLINK("https://fin.land.naver.com/articles/2651396371", "매물Link")</f>
        <v/>
      </c>
      <c r="M1276" s="6">
        <f>HYPERLINK("https://map.naver.com/p/search/부강면 행산리 447", "지도Link")</f>
        <v/>
      </c>
      <c r="N1276" s="6">
        <f>HYPERLINK("http://www.eum.go.kr/web/ar/lu/luLandDet.jsp?pnu=3611033022104470000&amp;isNoScr=script&amp;mode=search", "토지이음")</f>
        <v/>
      </c>
      <c r="O1276" s="3" t="inlineStr">
        <is>
          <t>로데오상가</t>
        </is>
      </c>
      <c r="P1276" s="4" t="n">
        <v>1</v>
      </c>
      <c r="Q1276" s="4" t="n">
        <v>1490.7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부강면 행산리 448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130000</v>
      </c>
      <c r="G1277" s="4" t="n">
        <v>7791</v>
      </c>
      <c r="H1277" s="4" t="n">
        <v>2357</v>
      </c>
      <c r="I1277" s="5" t="n">
        <v>55.2</v>
      </c>
      <c r="J1277" s="5" t="n">
        <v>18.3</v>
      </c>
      <c r="K1277" s="3" t="inlineStr">
        <is>
          <t>세종시5생활권입접.대규모농지.인접447번지와동시매매가능.장기투자목적</t>
        </is>
      </c>
      <c r="L1277" s="6">
        <f>HYPERLINK("https://fin.land.naver.com/articles/2654871112", "매물Link")</f>
        <v/>
      </c>
      <c r="M1277" s="6">
        <f>HYPERLINK("https://map.naver.com/p/search/부강면 행산리 448", "지도Link")</f>
        <v/>
      </c>
      <c r="N1277" s="6">
        <f>HYPERLINK("http://www.eum.go.kr/web/ar/lu/luLandDet.jsp?pnu=3611033022104480000&amp;isNoScr=script&amp;mode=search", "토지이음")</f>
        <v/>
      </c>
      <c r="O1277" s="3" t="inlineStr">
        <is>
          <t>돈방석</t>
        </is>
      </c>
      <c r="P1277" s="4" t="n">
        <v>4</v>
      </c>
      <c r="Q1277" s="4" t="n">
        <v>7790.7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부강면 행산리 448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141000</v>
      </c>
      <c r="G1278" s="4" t="n">
        <v>7790</v>
      </c>
      <c r="H1278" s="4" t="n">
        <v>2356</v>
      </c>
      <c r="I1278" s="5" t="n">
        <v>59.8</v>
      </c>
      <c r="J1278" s="5" t="n">
        <v>18.3</v>
      </c>
      <c r="K1278" s="3" t="inlineStr">
        <is>
          <t>2차선 도로 인접 토지 매매</t>
        </is>
      </c>
      <c r="L1278" s="6">
        <f>HYPERLINK("https://fin.land.naver.com/articles/2653135877", "매물Link")</f>
        <v/>
      </c>
      <c r="M1278" s="6">
        <f>HYPERLINK("https://map.naver.com/p/search/부강면 행산리 448", "지도Link")</f>
        <v/>
      </c>
      <c r="N1278" s="6">
        <f>HYPERLINK("http://www.eum.go.kr/web/ar/lu/luLandDet.jsp?pnu=3611033022104480000&amp;isNoScr=script&amp;mode=search", "토지이음")</f>
        <v/>
      </c>
      <c r="O1278" s="3" t="inlineStr">
        <is>
          <t>주식회사넥서스</t>
        </is>
      </c>
      <c r="P1278" s="4" t="n">
        <v>3</v>
      </c>
      <c r="Q1278" s="4" t="n">
        <v>7790.7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부강면 행산리 448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129600</v>
      </c>
      <c r="G1279" s="4" t="n">
        <v>7791</v>
      </c>
      <c r="H1279" s="4" t="n">
        <v>2357</v>
      </c>
      <c r="I1279" s="5" t="n">
        <v>55</v>
      </c>
      <c r="J1279" s="5" t="n">
        <v>18.3</v>
      </c>
      <c r="K1279" s="3" t="inlineStr">
        <is>
          <t>행산리 농림지역 대토 농지 논 답</t>
        </is>
      </c>
      <c r="L1279" s="6">
        <f>HYPERLINK("https://fin.land.naver.com/articles/2651396542", "매물Link")</f>
        <v/>
      </c>
      <c r="M1279" s="6">
        <f>HYPERLINK("https://map.naver.com/p/search/부강면 행산리 448", "지도Link")</f>
        <v/>
      </c>
      <c r="N1279" s="6">
        <f>HYPERLINK("http://www.eum.go.kr/web/ar/lu/luLandDet.jsp?pnu=3611033022104480000&amp;isNoScr=script&amp;mode=search", "토지이음")</f>
        <v/>
      </c>
      <c r="O1279" s="3" t="inlineStr">
        <is>
          <t>로데오상가</t>
        </is>
      </c>
      <c r="P1279" s="4" t="n">
        <v>2</v>
      </c>
      <c r="Q1279" s="4" t="n">
        <v>7790.7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552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35000</v>
      </c>
      <c r="G1280" s="4" t="n">
        <v>2853</v>
      </c>
      <c r="H1280" s="4" t="n">
        <v>863</v>
      </c>
      <c r="I1280" s="5" t="n">
        <v>40.6</v>
      </c>
      <c r="J1280" s="5" t="n">
        <v>16.9</v>
      </c>
      <c r="K1280" s="3" t="inlineStr">
        <is>
          <t>청주에서 세종간 도로중 저산척북로 인근 행산교차로 인근의 경지정리된 논</t>
        </is>
      </c>
      <c r="L1280" s="6">
        <f>HYPERLINK("https://fin.land.naver.com/articles/2654763564", "매물Link")</f>
        <v/>
      </c>
      <c r="M1280" s="6">
        <f>HYPERLINK("https://map.naver.com/p/search/부강면 행산리 552", "지도Link")</f>
        <v/>
      </c>
      <c r="N1280" s="6">
        <f>HYPERLINK("http://www.eum.go.kr/web/ar/lu/luLandDet.jsp?pnu=3611033022105520000&amp;isNoScr=script&amp;mode=search", "토지이음")</f>
        <v/>
      </c>
      <c r="O1280" s="3" t="inlineStr">
        <is>
          <t>주식회사정원</t>
        </is>
      </c>
      <c r="P1280" s="4" t="n">
        <v>1</v>
      </c>
      <c r="Q1280" s="4" t="n">
        <v>2853.3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552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38000</v>
      </c>
      <c r="G1281" s="4" t="n">
        <v>2853</v>
      </c>
      <c r="H1281" s="4" t="n">
        <v>863</v>
      </c>
      <c r="I1281" s="5" t="n">
        <v>44</v>
      </c>
      <c r="J1281" s="5" t="n">
        <v>16.9</v>
      </c>
      <c r="K1281" s="3" t="inlineStr">
        <is>
          <t>급매물 입니다 평당 45만원 입니다.</t>
        </is>
      </c>
      <c r="L1281" s="6">
        <f>HYPERLINK("https://fin.land.naver.com/articles/2656207503", "매물Link")</f>
        <v/>
      </c>
      <c r="M1281" s="6">
        <f>HYPERLINK("https://map.naver.com/p/search/부강면 행산리 552", "지도Link")</f>
        <v/>
      </c>
      <c r="N1281" s="6">
        <f>HYPERLINK("http://www.eum.go.kr/web/ar/lu/luLandDet.jsp?pnu=3611033022105520000&amp;isNoScr=script&amp;mode=search", "토지이음")</f>
        <v/>
      </c>
      <c r="O1281" s="3" t="inlineStr">
        <is>
          <t>승미</t>
        </is>
      </c>
      <c r="P1281" s="4" t="n">
        <v>1</v>
      </c>
      <c r="Q1281" s="4" t="n">
        <v>2853.3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615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57000</v>
      </c>
      <c r="G1282" s="4" t="n">
        <v>1871</v>
      </c>
      <c r="H1282" s="4" t="n">
        <v>566</v>
      </c>
      <c r="I1282" s="5" t="n">
        <v>100.7</v>
      </c>
      <c r="J1282" s="5" t="n">
        <v>18.1</v>
      </c>
      <c r="K1282" s="3" t="inlineStr">
        <is>
          <t>2차선변 위치,마을인접,토지바로앞에 버스정류장 있어요</t>
        </is>
      </c>
      <c r="L1282" s="6">
        <f>HYPERLINK("https://fin.land.naver.com/articles/2654217846", "매물Link")</f>
        <v/>
      </c>
      <c r="M1282" s="6">
        <f>HYPERLINK("https://map.naver.com/p/search/부강면 행산리 615", "지도Link")</f>
        <v/>
      </c>
      <c r="N1282" s="6">
        <f>HYPERLINK("http://www.eum.go.kr/web/ar/lu/luLandDet.jsp?pnu=3611033022106150000&amp;isNoScr=script&amp;mode=search", "토지이음")</f>
        <v/>
      </c>
      <c r="O1282" s="3" t="inlineStr">
        <is>
          <t>가치잇는</t>
        </is>
      </c>
      <c r="P1282" s="4" t="n">
        <v>5</v>
      </c>
      <c r="Q1282" s="4" t="n">
        <v>1871.1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고등리 230-1</t>
        </is>
      </c>
      <c r="B1283" s="3" t="inlineStr">
        <is>
          <t>계획관리지역</t>
        </is>
      </c>
      <c r="C1283" s="3" t="inlineStr">
        <is>
          <t>목장용지</t>
        </is>
      </c>
      <c r="D1283" s="3" t="inlineStr">
        <is>
          <t>목장용지</t>
        </is>
      </c>
      <c r="E1283" s="3" t="inlineStr">
        <is>
          <t>매매</t>
        </is>
      </c>
      <c r="F1283" s="4" t="n">
        <v>2080000</v>
      </c>
      <c r="G1283" s="4" t="n">
        <v>27530</v>
      </c>
      <c r="H1283" s="4" t="n">
        <v>8328</v>
      </c>
      <c r="I1283" s="5" t="n">
        <v>249.8</v>
      </c>
      <c r="J1283" s="5" t="n">
        <v>26.1</v>
      </c>
      <c r="K1283" s="3" t="inlineStr">
        <is>
          <t>게획관리지역  대형평수 공장부지</t>
        </is>
      </c>
      <c r="L1283" s="6">
        <f>HYPERLINK("https://fin.land.naver.com/articles/2652136758", "매물Link")</f>
        <v/>
      </c>
      <c r="M1283" s="6">
        <f>HYPERLINK("https://map.naver.com/p/search/소정면 고등리 230-1", "지도Link")</f>
        <v/>
      </c>
      <c r="N1283" s="6">
        <f>HYPERLINK("http://www.eum.go.kr/web/ar/lu/luLandDet.jsp?pnu=3611039024102300001&amp;isNoScr=script&amp;mode=search", "토지이음")</f>
        <v/>
      </c>
      <c r="O1283" s="3" t="inlineStr">
        <is>
          <t>글로벌</t>
        </is>
      </c>
      <c r="P1283" s="4" t="n">
        <v>1</v>
      </c>
      <c r="Q1283" s="4" t="n">
        <v>19819</v>
      </c>
      <c r="R1283" s="3" t="inlineStr">
        <is>
          <t>지정되지않음</t>
        </is>
      </c>
      <c r="S1283" s="3" t="inlineStr">
        <is>
          <t>전축사</t>
        </is>
      </c>
      <c r="T1283" s="3" t="inlineStr">
        <is>
          <t>급경사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고등리 408-1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600000</v>
      </c>
      <c r="G1284" s="4" t="n">
        <v>9268</v>
      </c>
      <c r="H1284" s="4" t="n">
        <v>2804</v>
      </c>
      <c r="I1284" s="5" t="n">
        <v>214</v>
      </c>
      <c r="J1284" s="5" t="n">
        <v>40.1</v>
      </c>
      <c r="K1284" s="3" t="inlineStr">
        <is>
          <t>산단 초근접 4차선대로접 계획관리지역(성장관리계획구역)</t>
        </is>
      </c>
      <c r="L1284" s="6">
        <f>HYPERLINK("https://fin.land.naver.com/articles/2652020241", "매물Link")</f>
        <v/>
      </c>
      <c r="M1284" s="6">
        <f>HYPERLINK("https://map.naver.com/p/search/소정면 고등리 408-1", "지도Link")</f>
        <v/>
      </c>
      <c r="N1284" s="6">
        <f>HYPERLINK("http://www.eum.go.kr/web/ar/lu/luLandDet.jsp?pnu=3611039024104080001&amp;isNoScr=script&amp;mode=search", "토지이음")</f>
        <v/>
      </c>
      <c r="O1284" s="3" t="inlineStr">
        <is>
          <t>드림</t>
        </is>
      </c>
      <c r="P1284" s="4" t="n">
        <v>1</v>
      </c>
      <c r="Q1284" s="4" t="n">
        <v>3412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소로각지</t>
        </is>
      </c>
    </row>
    <row r="1285">
      <c r="A1285" s="3" t="inlineStr">
        <is>
          <t>소정면 고등리 410-10</t>
        </is>
      </c>
      <c r="B1285" s="3" t="inlineStr">
        <is>
          <t>농림지역</t>
        </is>
      </c>
      <c r="C1285" s="3" t="inlineStr">
        <is>
          <t>공장용지</t>
        </is>
      </c>
      <c r="D1285" s="3" t="inlineStr">
        <is>
          <t>공장용지</t>
        </is>
      </c>
      <c r="E1285" s="3" t="inlineStr">
        <is>
          <t>매매</t>
        </is>
      </c>
      <c r="F1285" s="4" t="n">
        <v>25000</v>
      </c>
      <c r="G1285" s="4" t="n">
        <v>378</v>
      </c>
      <c r="H1285" s="4" t="n">
        <v>114</v>
      </c>
      <c r="I1285" s="5" t="n">
        <v>219.3</v>
      </c>
      <c r="J1285" s="5" t="n">
        <v>24.6</v>
      </c>
      <c r="K1285" s="3" t="inlineStr">
        <is>
          <t>대로에 접한 공장용지</t>
        </is>
      </c>
      <c r="L1285" s="6">
        <f>HYPERLINK("https://fin.land.naver.com/articles/2654950132", "매물Link")</f>
        <v/>
      </c>
      <c r="M1285" s="6">
        <f>HYPERLINK("https://map.naver.com/p/search/소정면 고등리 410-10", "지도Link")</f>
        <v/>
      </c>
      <c r="N1285" s="6">
        <f>HYPERLINK("http://www.eum.go.kr/web/ar/lu/luLandDet.jsp?pnu=3611039024104100010&amp;isNoScr=script&amp;mode=search", "토지이음")</f>
        <v/>
      </c>
      <c r="O1285" s="3" t="inlineStr">
        <is>
          <t>한화포레나단지내</t>
        </is>
      </c>
      <c r="P1285" s="4" t="n">
        <v>1</v>
      </c>
      <c r="Q1285" s="4" t="n">
        <v>378</v>
      </c>
      <c r="R1285" s="3" t="inlineStr">
        <is>
          <t>지정되지않음</t>
        </is>
      </c>
      <c r="S1285" s="3" t="inlineStr">
        <is>
          <t>공업용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소정면 고등리 453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124550</v>
      </c>
      <c r="G1286" s="4" t="n">
        <v>3580</v>
      </c>
      <c r="H1286" s="4" t="n">
        <v>1083</v>
      </c>
      <c r="I1286" s="5" t="n">
        <v>115</v>
      </c>
      <c r="J1286" s="5" t="n">
        <v>25</v>
      </c>
      <c r="K1286" s="3" t="inlineStr">
        <is>
          <t>세종스마트그린일반산업단지 권역 다용도 토지</t>
        </is>
      </c>
      <c r="L1286" s="6">
        <f>HYPERLINK("https://fin.land.naver.com/articles/2651112294", "매물Link")</f>
        <v/>
      </c>
      <c r="M1286" s="6">
        <f>HYPERLINK("https://map.naver.com/p/search/소정면 고등리 453", "지도Link")</f>
        <v/>
      </c>
      <c r="N1286" s="6">
        <f>HYPERLINK("http://www.eum.go.kr/web/ar/lu/luLandDet.jsp?pnu=3611039024104530000&amp;isNoScr=script&amp;mode=search", "토지이음")</f>
        <v/>
      </c>
      <c r="O1286" s="3" t="inlineStr">
        <is>
          <t>단촌</t>
        </is>
      </c>
      <c r="P1286" s="4" t="n">
        <v>1</v>
      </c>
      <c r="Q1286" s="4" t="n">
        <v>1193</v>
      </c>
      <c r="R1286" s="3" t="inlineStr">
        <is>
          <t>지정되지않음</t>
        </is>
      </c>
      <c r="S1286" s="3" t="inlineStr">
        <is>
          <t>전기타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536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148800</v>
      </c>
      <c r="G1287" s="4" t="n">
        <v>5785</v>
      </c>
      <c r="H1287" s="4" t="n">
        <v>1750</v>
      </c>
      <c r="I1287" s="5" t="n">
        <v>85</v>
      </c>
      <c r="J1287" s="5" t="n">
        <v>23.3</v>
      </c>
      <c r="K1287" s="3" t="inlineStr">
        <is>
          <t>세종스마트그린일반산업단지 권역 다용도 토지</t>
        </is>
      </c>
      <c r="L1287" s="6">
        <f>HYPERLINK("https://fin.land.naver.com/articles/2651112092", "매물Link")</f>
        <v/>
      </c>
      <c r="M1287" s="6">
        <f>HYPERLINK("https://map.naver.com/p/search/소정면 고등리 536", "지도Link")</f>
        <v/>
      </c>
      <c r="N1287" s="6">
        <f>HYPERLINK("http://www.eum.go.kr/web/ar/lu/luLandDet.jsp?pnu=3611039024105360000&amp;isNoScr=script&amp;mode=search", "토지이음")</f>
        <v/>
      </c>
      <c r="O1287" s="3" t="inlineStr">
        <is>
          <t>단촌</t>
        </is>
      </c>
      <c r="P1287" s="4" t="n">
        <v>1</v>
      </c>
      <c r="Q1287" s="4" t="n">
        <v>4768.7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고등리 579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58000</v>
      </c>
      <c r="G1288" s="4" t="n">
        <v>1818</v>
      </c>
      <c r="H1288" s="4" t="n">
        <v>550</v>
      </c>
      <c r="I1288" s="5" t="n">
        <v>105.5</v>
      </c>
      <c r="J1288" s="5" t="n">
        <v>23.3</v>
      </c>
      <c r="K1288" s="3" t="inlineStr">
        <is>
          <t>소정면 고등리 계획관리 도로접 토지매매</t>
        </is>
      </c>
      <c r="L1288" s="6">
        <f>HYPERLINK("https://fin.land.naver.com/articles/2651990946", "매물Link")</f>
        <v/>
      </c>
      <c r="M1288" s="6">
        <f>HYPERLINK("https://map.naver.com/p/search/소정면 고등리 579", "지도Link")</f>
        <v/>
      </c>
      <c r="N1288" s="6">
        <f>HYPERLINK("http://www.eum.go.kr/web/ar/lu/luLandDet.jsp?pnu=3611039024105790000&amp;isNoScr=script&amp;mode=search", "토지이음")</f>
        <v/>
      </c>
      <c r="O1288" s="3" t="inlineStr">
        <is>
          <t>재화</t>
        </is>
      </c>
      <c r="P1288" s="4" t="n">
        <v>1</v>
      </c>
      <c r="Q1288" s="4" t="n">
        <v>1818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고등리 612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250000</v>
      </c>
      <c r="G1289" s="4" t="n">
        <v>7995</v>
      </c>
      <c r="H1289" s="4" t="n">
        <v>2418</v>
      </c>
      <c r="I1289" s="5" t="n">
        <v>103.4</v>
      </c>
      <c r="J1289" s="5" t="n">
        <v>26.1</v>
      </c>
      <c r="K1289" s="3" t="inlineStr">
        <is>
          <t>nan</t>
        </is>
      </c>
      <c r="L1289" s="6">
        <f>HYPERLINK("https://fin.land.naver.com/articles/2652025273", "매물Link")</f>
        <v/>
      </c>
      <c r="M1289" s="6">
        <f>HYPERLINK("https://map.naver.com/p/search/소정면 고등리 612", "지도Link")</f>
        <v/>
      </c>
      <c r="N1289" s="6">
        <f>HYPERLINK("http://www.eum.go.kr/web/ar/lu/luLandDet.jsp?pnu=3611039024106120000&amp;isNoScr=script&amp;mode=search", "토지이음")</f>
        <v/>
      </c>
      <c r="O1289" s="3" t="inlineStr">
        <is>
          <t>드림</t>
        </is>
      </c>
      <c r="P1289" s="4" t="n">
        <v>1</v>
      </c>
      <c r="Q1289" s="4" t="n">
        <v>4101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소정면 고등리 622-6</t>
        </is>
      </c>
      <c r="B1290" s="3" t="inlineStr">
        <is>
          <t>계획관리지역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35000</v>
      </c>
      <c r="G1290" s="4" t="n">
        <v>1444</v>
      </c>
      <c r="H1290" s="4" t="n">
        <v>437</v>
      </c>
      <c r="I1290" s="5" t="n">
        <v>80.09999999999999</v>
      </c>
      <c r="J1290" s="5" t="n">
        <v>21.4</v>
      </c>
      <c r="K1290" s="3" t="inlineStr">
        <is>
          <t>nan</t>
        </is>
      </c>
      <c r="L1290" s="6">
        <f>HYPERLINK("https://fin.land.naver.com/articles/2652702076", "매물Link")</f>
        <v/>
      </c>
      <c r="M1290" s="6">
        <f>HYPERLINK("https://map.naver.com/p/search/소정면 고등리 622-6", "지도Link")</f>
        <v/>
      </c>
      <c r="N1290" s="6">
        <f>HYPERLINK("http://www.eum.go.kr/web/ar/lu/luLandDet.jsp?pnu=3611039024106220006&amp;isNoScr=script&amp;mode=search", "토지이음")</f>
        <v/>
      </c>
      <c r="O1290" s="3" t="inlineStr">
        <is>
          <t>올라</t>
        </is>
      </c>
      <c r="P1290" s="4" t="n">
        <v>1</v>
      </c>
      <c r="Q1290" s="4" t="n">
        <v>1444.4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소정면 고등리 698-1</t>
        </is>
      </c>
      <c r="B1291" s="3" t="inlineStr">
        <is>
          <t>일반공업지역</t>
        </is>
      </c>
      <c r="C1291" s="3" t="inlineStr">
        <is>
          <t>공장용지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230000</v>
      </c>
      <c r="G1291" s="4" t="n">
        <v>5438</v>
      </c>
      <c r="H1291" s="4" t="n">
        <v>1645</v>
      </c>
      <c r="I1291" s="5" t="n">
        <v>139.8</v>
      </c>
      <c r="J1291" s="5" t="n">
        <v>104.9</v>
      </c>
      <c r="K1291" s="3" t="inlineStr">
        <is>
          <t>세종첨단 일반 산업단지, 식품,화학, 의료,플라스틱 등 제조가능</t>
        </is>
      </c>
      <c r="L1291" s="6">
        <f>HYPERLINK("https://fin.land.naver.com/articles/2651061645", "매물Link")</f>
        <v/>
      </c>
      <c r="M1291" s="6">
        <f>HYPERLINK("https://map.naver.com/p/search/소정면 고등리 698-1", "지도Link")</f>
        <v/>
      </c>
      <c r="N1291" s="6">
        <f>HYPERLINK("http://www.eum.go.kr/web/ar/lu/luLandDet.jsp?pnu=3611039024106980001&amp;isNoScr=script&amp;mode=search", "토지이음")</f>
        <v/>
      </c>
      <c r="O1291" s="3" t="inlineStr">
        <is>
          <t>플러스자이합동</t>
        </is>
      </c>
      <c r="P1291" s="4" t="n">
        <v>1</v>
      </c>
      <c r="Q1291" s="4" t="n">
        <v>5438.5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소정면 고등리 796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360000</v>
      </c>
      <c r="G1292" s="4" t="n">
        <v>1643</v>
      </c>
      <c r="H1292" s="4" t="n">
        <v>497</v>
      </c>
      <c r="I1292" s="5" t="n">
        <v>724.3</v>
      </c>
      <c r="J1292" s="5" t="n">
        <v>122</v>
      </c>
      <c r="K1292" s="3" t="inlineStr">
        <is>
          <t>희소성높은 전의 스마트그린 일반산업단지 내 지원시설용지 매매입니다</t>
        </is>
      </c>
      <c r="L1292" s="6">
        <f>HYPERLINK("https://fin.land.naver.com/articles/2655137010", "매물Link")</f>
        <v/>
      </c>
      <c r="M1292" s="6">
        <f>HYPERLINK("https://map.naver.com/p/search/소정면 고등리 796", "지도Link")</f>
        <v/>
      </c>
      <c r="N1292" s="6">
        <f>HYPERLINK("http://www.eum.go.kr/web/ar/lu/luLandDet.jsp?pnu=3611039024107960000&amp;isNoScr=script&amp;mode=search", "토지이음")</f>
        <v/>
      </c>
      <c r="O1292" s="3" t="inlineStr">
        <is>
          <t>복댕이</t>
        </is>
      </c>
      <c r="P1292" s="4" t="n">
        <v>1</v>
      </c>
      <c r="Q1292" s="4" t="n">
        <v>839.3</v>
      </c>
      <c r="R1292" s="3" t="inlineStr">
        <is>
          <t>지정되지않음</t>
        </is>
      </c>
      <c r="S1292" s="3" t="inlineStr">
        <is>
          <t>상업나지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중로한면</t>
        </is>
      </c>
    </row>
    <row r="1293">
      <c r="A1293" s="3" t="inlineStr">
        <is>
          <t>소정면 대곡리 10-21</t>
        </is>
      </c>
      <c r="B1293" s="3" t="inlineStr">
        <is>
          <t>농림지역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26000</v>
      </c>
      <c r="G1293" s="4" t="n">
        <v>5732</v>
      </c>
      <c r="H1293" s="4" t="n">
        <v>1734</v>
      </c>
      <c r="I1293" s="5" t="n">
        <v>15</v>
      </c>
      <c r="J1293" s="5" t="n">
        <v>1.4</v>
      </c>
      <c r="K1293" s="3" t="inlineStr">
        <is>
          <t>추천소정대곡리 임야 농림지역 투자용5732㎡ 2차선접 세종첨단산업단지</t>
        </is>
      </c>
      <c r="L1293" s="6">
        <f>HYPERLINK("https://fin.land.naver.com/articles/2650919761", "매물Link")</f>
        <v/>
      </c>
      <c r="M1293" s="6">
        <f>HYPERLINK("https://map.naver.com/p/search/소정면 대곡리 10-21", "지도Link")</f>
        <v/>
      </c>
      <c r="N1293" s="6">
        <f>HYPERLINK("http://www.eum.go.kr/web/ar/lu/luLandDet.jsp?pnu=3611039023100100021&amp;isNoScr=script&amp;mode=search", "토지이음")</f>
        <v/>
      </c>
      <c r="O1293" s="3" t="inlineStr">
        <is>
          <t>천안삼거리</t>
        </is>
      </c>
      <c r="P1293" s="4" t="n">
        <v>1</v>
      </c>
      <c r="Q1293" s="4" t="n">
        <v>5732</v>
      </c>
      <c r="R1293" s="3" t="inlineStr">
        <is>
          <t>지정되지않음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사다리형</t>
        </is>
      </c>
      <c r="V1293" s="3" t="inlineStr">
        <is>
          <t>맹지</t>
        </is>
      </c>
    </row>
    <row r="1294">
      <c r="A1294" s="3" t="inlineStr">
        <is>
          <t>소정면 대곡리 116</t>
        </is>
      </c>
      <c r="B1294" s="3" t="inlineStr">
        <is>
          <t>계획관리지역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55000</v>
      </c>
      <c r="G1294" s="4" t="n">
        <v>3306</v>
      </c>
      <c r="H1294" s="4" t="n">
        <v>1000</v>
      </c>
      <c r="I1294" s="5" t="n">
        <v>55</v>
      </c>
      <c r="J1294" s="5" t="n">
        <v>20.7</v>
      </c>
      <c r="K1294" s="3" t="inlineStr">
        <is>
          <t>3m농로 접한 계획관리 토지</t>
        </is>
      </c>
      <c r="L1294" s="6">
        <f>HYPERLINK("https://fin.land.naver.com/articles/2652043398", "매물Link")</f>
        <v/>
      </c>
      <c r="M1294" s="6">
        <f>HYPERLINK("https://map.naver.com/p/search/소정면 대곡리 116", "지도Link")</f>
        <v/>
      </c>
      <c r="N1294" s="6">
        <f>HYPERLINK("http://www.eum.go.kr/web/ar/lu/luLandDet.jsp?pnu=3611039023101160000&amp;isNoScr=script&amp;mode=search", "토지이음")</f>
        <v/>
      </c>
      <c r="O1294" s="3" t="inlineStr">
        <is>
          <t>미스터홈즈강남지사</t>
        </is>
      </c>
      <c r="P1294" s="4" t="n">
        <v>1</v>
      </c>
      <c r="Q1294" s="4" t="n">
        <v>3306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대곡리 184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30000</v>
      </c>
      <c r="G1295" s="4" t="n">
        <v>1696</v>
      </c>
      <c r="H1295" s="4" t="n">
        <v>513</v>
      </c>
      <c r="I1295" s="5" t="n">
        <v>58.5</v>
      </c>
      <c r="J1295" s="5" t="n">
        <v>25.3</v>
      </c>
      <c r="K1295" s="3" t="inlineStr">
        <is>
          <t>도로접한 토지,마을 안쪽 토지로 전원주택지로 좋음,조용하고 전망좋음</t>
        </is>
      </c>
      <c r="L1295" s="6">
        <f>HYPERLINK("https://fin.land.naver.com/articles/2656160732", "매물Link")</f>
        <v/>
      </c>
      <c r="M1295" s="6">
        <f>HYPERLINK("https://map.naver.com/p/search/소정면 대곡리 184", "지도Link")</f>
        <v/>
      </c>
      <c r="N1295" s="6">
        <f>HYPERLINK("http://www.eum.go.kr/web/ar/lu/luLandDet.jsp?pnu=3611039023101840000&amp;isNoScr=script&amp;mode=search",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1696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소정면 대곡리 188-1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42000</v>
      </c>
      <c r="G1296" s="4" t="n">
        <v>871</v>
      </c>
      <c r="H1296" s="4" t="n">
        <v>263</v>
      </c>
      <c r="I1296" s="5" t="n">
        <v>159.7</v>
      </c>
      <c r="J1296" s="5" t="n">
        <v>37</v>
      </c>
      <c r="K1296" s="3" t="inlineStr">
        <is>
          <t>nan</t>
        </is>
      </c>
      <c r="L1296" s="6">
        <f>HYPERLINK("https://fin.land.naver.com/articles/2651316426", "매물Link")</f>
        <v/>
      </c>
      <c r="M1296" s="6">
        <f>HYPERLINK("https://map.naver.com/p/search/소정면 대곡리 188-1", "지도Link")</f>
        <v/>
      </c>
      <c r="N1296" s="6">
        <f>HYPERLINK("http://www.eum.go.kr/web/ar/lu/luLandDet.jsp?pnu=3611039023101880001&amp;isNoScr=script&amp;mode=search", "토지이음")</f>
        <v/>
      </c>
      <c r="O1296" s="3" t="inlineStr">
        <is>
          <t>코아루</t>
        </is>
      </c>
      <c r="P1296" s="4" t="n">
        <v>1</v>
      </c>
      <c r="Q1296" s="4" t="n">
        <v>871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소정면 대곡리 212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32000</v>
      </c>
      <c r="G1297" s="4" t="n">
        <v>1455</v>
      </c>
      <c r="H1297" s="4" t="n">
        <v>440</v>
      </c>
      <c r="I1297" s="5" t="n">
        <v>72.7</v>
      </c>
      <c r="J1297" s="5" t="n">
        <v>30.4</v>
      </c>
      <c r="K1297" s="3" t="inlineStr">
        <is>
          <t>세종,천안 더블 생활권 산업단지 인근 소정리역 인근 관리잘된 예쁜토지</t>
        </is>
      </c>
      <c r="L1297" s="6">
        <f>HYPERLINK("https://fin.land.naver.com/articles/2651642795", "매물Link")</f>
        <v/>
      </c>
      <c r="M1297" s="6">
        <f>HYPERLINK("https://map.naver.com/p/search/소정면 대곡리 212", "지도Link")</f>
        <v/>
      </c>
      <c r="N1297" s="6">
        <f>HYPERLINK("http://www.eum.go.kr/web/ar/lu/luLandDet.jsp?pnu=3611039023102120000&amp;isNoScr=script&amp;mode=search", "토지이음")</f>
        <v/>
      </c>
      <c r="O1297" s="3" t="inlineStr">
        <is>
          <t>아임</t>
        </is>
      </c>
      <c r="P1297" s="4" t="n">
        <v>1</v>
      </c>
      <c r="Q1297" s="4" t="n">
        <v>1455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소정면 대곡리 223-1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대</t>
        </is>
      </c>
      <c r="E1298" s="3" t="inlineStr">
        <is>
          <t>매매</t>
        </is>
      </c>
      <c r="F1298" s="4" t="n">
        <v>14800</v>
      </c>
      <c r="G1298" s="4" t="n">
        <v>912</v>
      </c>
      <c r="H1298" s="4" t="n">
        <v>276</v>
      </c>
      <c r="I1298" s="5" t="n">
        <v>53.6</v>
      </c>
      <c r="J1298" s="5" t="n">
        <v>30.2</v>
      </c>
      <c r="K1298" s="3" t="inlineStr">
        <is>
          <t>IC·산단 접근 좋은 계획관리 소규모 실사용 토지</t>
        </is>
      </c>
      <c r="L1298" s="6">
        <f>HYPERLINK("https://fin.land.naver.com/articles/2655058252", "매물Link")</f>
        <v/>
      </c>
      <c r="M1298" s="6">
        <f>HYPERLINK("https://map.naver.com/p/search/소정면 대곡리 223-1", "지도Link")</f>
        <v/>
      </c>
      <c r="N1298" s="6">
        <f>HYPERLINK("http://www.eum.go.kr/web/ar/lu/luLandDet.jsp?pnu=3611039023102230001&amp;isNoScr=script&amp;mode=search",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576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280-14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9986</v>
      </c>
      <c r="H1299" s="4" t="n">
        <v>3021</v>
      </c>
      <c r="I1299" s="5" t="n">
        <v>34.8</v>
      </c>
      <c r="J1299" s="5" t="n">
        <v>21.8</v>
      </c>
      <c r="K1299" s="3" t="inlineStr">
        <is>
          <t>2차선 대로변 접  녋은토지</t>
        </is>
      </c>
      <c r="L1299" s="6">
        <f>HYPERLINK("https://fin.land.naver.com/articles/2652104957", "매물Link")</f>
        <v/>
      </c>
      <c r="M1299" s="6">
        <f>HYPERLINK("https://map.naver.com/p/search/소정면 대곡리 280-14", "지도Link")</f>
        <v/>
      </c>
      <c r="N1299" s="6">
        <f>HYPERLINK("http://www.eum.go.kr/web/ar/lu/luLandDet.jsp?pnu=3611039023102800014&amp;isNoScr=script&amp;mode=search", "토지이음")</f>
        <v/>
      </c>
      <c r="O1299" s="3" t="inlineStr">
        <is>
          <t>글로벌</t>
        </is>
      </c>
      <c r="P1299" s="4" t="n">
        <v>1</v>
      </c>
      <c r="Q1299" s="4" t="n">
        <v>4204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급경사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소정면 대곡리 31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1563</v>
      </c>
      <c r="H1300" s="4" t="n">
        <v>473</v>
      </c>
      <c r="I1300" s="5" t="n">
        <v>84.59999999999999</v>
      </c>
      <c r="J1300" s="5" t="n">
        <v>26.1</v>
      </c>
      <c r="K1300" s="3" t="inlineStr">
        <is>
          <t>계획관리 토지매매개발가능</t>
        </is>
      </c>
      <c r="L1300" s="6">
        <f>HYPERLINK("https://fin.land.naver.com/articles/2655059964", "매물Link")</f>
        <v/>
      </c>
      <c r="M1300" s="6">
        <f>HYPERLINK("https://map.naver.com/p/search/소정면 대곡리 31", "지도Link")</f>
        <v/>
      </c>
      <c r="N1300" s="6">
        <f>HYPERLINK("http://www.eum.go.kr/web/ar/lu/luLandDet.jsp?pnu=3611039023100310000&amp;isNoScr=script&amp;mode=search",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1563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소정면 대곡리 327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45000</v>
      </c>
      <c r="G1301" s="4" t="n">
        <v>1533</v>
      </c>
      <c r="H1301" s="4" t="n">
        <v>464</v>
      </c>
      <c r="I1301" s="5" t="n">
        <v>97</v>
      </c>
      <c r="J1301" s="5" t="n">
        <v>26.8</v>
      </c>
      <c r="K1301" s="3" t="inlineStr">
        <is>
          <t>1번국도인근  창고,제조시설,카페등</t>
        </is>
      </c>
      <c r="L1301" s="6">
        <f>HYPERLINK("https://fin.land.naver.com/articles/2653333065", "매물Link")</f>
        <v/>
      </c>
      <c r="M1301" s="6">
        <f>HYPERLINK("https://map.naver.com/p/search/소정면 대곡리 327", "지도Link")</f>
        <v/>
      </c>
      <c r="N1301" s="6">
        <f>HYPERLINK("http://www.eum.go.kr/web/ar/lu/luLandDet.jsp?pnu=3611039023103270000&amp;isNoScr=script&amp;mode=search", "토지이음")</f>
        <v/>
      </c>
      <c r="O1301" s="3" t="inlineStr">
        <is>
          <t>도시</t>
        </is>
      </c>
      <c r="P1301" s="4" t="n">
        <v>1</v>
      </c>
      <c r="Q1301" s="4" t="n">
        <v>1533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대곡리 349-2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550000</v>
      </c>
      <c r="G1302" s="4" t="n">
        <v>16618</v>
      </c>
      <c r="H1302" s="4" t="n">
        <v>5027</v>
      </c>
      <c r="I1302" s="5" t="n">
        <v>109.4</v>
      </c>
      <c r="J1302" s="5" t="n">
        <v>27.6</v>
      </c>
      <c r="K1302" s="3" t="inlineStr">
        <is>
          <t>세종시 소정면 대도로변에 위치한 계획관리 토지 매매</t>
        </is>
      </c>
      <c r="L1302" s="6">
        <f>HYPERLINK("https://fin.land.naver.com/articles/2653813149", "매물Link")</f>
        <v/>
      </c>
      <c r="M1302" s="6">
        <f>HYPERLINK("https://map.naver.com/p/search/소정면 대곡리 349-2", "지도Link")</f>
        <v/>
      </c>
      <c r="N1302" s="6">
        <f>HYPERLINK("http://www.eum.go.kr/web/ar/lu/luLandDet.jsp?pnu=3611039023103490002&amp;isNoScr=script&amp;mode=search", "토지이음")</f>
        <v/>
      </c>
      <c r="O1302" s="3" t="inlineStr">
        <is>
          <t>뉴스카이</t>
        </is>
      </c>
      <c r="P1302" s="4" t="n">
        <v>1</v>
      </c>
      <c r="Q1302" s="4" t="n">
        <v>2615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맹지</t>
        </is>
      </c>
    </row>
    <row r="1303">
      <c r="A1303" s="3" t="inlineStr">
        <is>
          <t>소정면 대곡리 414-2</t>
        </is>
      </c>
      <c r="B1303" s="3" t="inlineStr">
        <is>
          <t>계획관리지역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150000</v>
      </c>
      <c r="G1303" s="4" t="n">
        <v>3831</v>
      </c>
      <c r="H1303" s="4" t="n">
        <v>1159</v>
      </c>
      <c r="I1303" s="5" t="n">
        <v>129.4</v>
      </c>
      <c r="J1303" s="5" t="n">
        <v>27.1</v>
      </c>
      <c r="K1303" s="3" t="inlineStr">
        <is>
          <t>세종상용차물류단지 예정지인근 계획관리지역4필지 2,500P 27.5억</t>
        </is>
      </c>
      <c r="L1303" s="6">
        <f>HYPERLINK("https://fin.land.naver.com/articles/2656411979", "매물Link")</f>
        <v/>
      </c>
      <c r="M1303" s="6">
        <f>HYPERLINK("https://map.naver.com/p/search/소정면 대곡리 414-2", "지도Link")</f>
        <v/>
      </c>
      <c r="N1303" s="6">
        <f>HYPERLINK("http://www.eum.go.kr/web/ar/lu/luLandDet.jsp?pnu=3611039023104140002&amp;isNoScr=script&amp;mode=search", "토지이음")</f>
        <v/>
      </c>
      <c r="O1303" s="3" t="inlineStr">
        <is>
          <t>이화</t>
        </is>
      </c>
      <c r="P1303" s="4" t="n">
        <v>1</v>
      </c>
      <c r="Q1303" s="4" t="n">
        <v>3831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소정면 대곡리 43-1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19900</v>
      </c>
      <c r="G1304" s="4" t="n">
        <v>2350</v>
      </c>
      <c r="H1304" s="4" t="n">
        <v>711</v>
      </c>
      <c r="I1304" s="5" t="n">
        <v>28</v>
      </c>
      <c r="J1304" s="5" t="n">
        <v>29.2</v>
      </c>
      <c r="K1304" s="3" t="inlineStr">
        <is>
          <t>nan</t>
        </is>
      </c>
      <c r="L1304" s="6">
        <f>HYPERLINK("https://fin.land.naver.com/articles/2652664142", "매물Link")</f>
        <v/>
      </c>
      <c r="M1304" s="6">
        <f>HYPERLINK("https://map.naver.com/p/search/소정면 대곡리 43-1", "지도Link")</f>
        <v/>
      </c>
      <c r="N1304" s="6">
        <f>HYPERLINK("http://www.eum.go.kr/web/ar/lu/luLandDet.jsp?pnu=3611039023100430001&amp;isNoScr=script&amp;mode=search", "토지이음")</f>
        <v/>
      </c>
      <c r="O1304" s="3" t="inlineStr">
        <is>
          <t>진</t>
        </is>
      </c>
      <c r="P1304" s="4" t="n">
        <v>1</v>
      </c>
      <c r="Q1304" s="4" t="n">
        <v>2350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대곡리 43-1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20000</v>
      </c>
      <c r="G1305" s="4" t="n">
        <v>2350</v>
      </c>
      <c r="H1305" s="4" t="n">
        <v>711</v>
      </c>
      <c r="I1305" s="5" t="n">
        <v>28.1</v>
      </c>
      <c r="J1305" s="5" t="n">
        <v>29.2</v>
      </c>
      <c r="K1305" s="3" t="inlineStr">
        <is>
          <t>세종시 소재 토지를  저렴한 가격으로 확보 기회</t>
        </is>
      </c>
      <c r="L1305" s="6">
        <f>HYPERLINK("https://fin.land.naver.com/articles/2653482819", "매물Link")</f>
        <v/>
      </c>
      <c r="M1305" s="6">
        <f>HYPERLINK("https://map.naver.com/p/search/소정면 대곡리 43-1", "지도Link")</f>
        <v/>
      </c>
      <c r="N1305" s="6">
        <f>HYPERLINK("http://www.eum.go.kr/web/ar/lu/luLandDet.jsp?pnu=3611039023100430001&amp;isNoScr=script&amp;mode=search", "토지이음")</f>
        <v/>
      </c>
      <c r="O1305" s="3" t="inlineStr">
        <is>
          <t>봄날</t>
        </is>
      </c>
      <c r="P1305" s="4" t="n">
        <v>1</v>
      </c>
      <c r="Q1305" s="4" t="n">
        <v>2350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대곡리 471-4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7000</v>
      </c>
      <c r="G1306" s="4" t="n">
        <v>268</v>
      </c>
      <c r="H1306" s="4" t="n">
        <v>81</v>
      </c>
      <c r="I1306" s="5" t="n">
        <v>86.40000000000001</v>
      </c>
      <c r="J1306" s="5" t="n">
        <v>55.7</v>
      </c>
      <c r="K1306" s="3" t="inlineStr">
        <is>
          <t>소정면 대곡리 도로접 나대지 매매</t>
        </is>
      </c>
      <c r="L1306" s="6">
        <f>HYPERLINK("https://fin.land.naver.com/articles/2651993571", "매물Link")</f>
        <v/>
      </c>
      <c r="M1306" s="6">
        <f>HYPERLINK("https://map.naver.com/p/search/소정면 대곡리 471-4", "지도Link")</f>
        <v/>
      </c>
      <c r="N1306" s="6">
        <f>HYPERLINK("http://www.eum.go.kr/web/ar/lu/luLandDet.jsp?pnu=3611039023104710004&amp;isNoScr=script&amp;mode=search", "토지이음")</f>
        <v/>
      </c>
      <c r="O1306" s="3" t="inlineStr">
        <is>
          <t>재화</t>
        </is>
      </c>
      <c r="P1306" s="4" t="n">
        <v>1</v>
      </c>
      <c r="Q1306" s="4" t="n">
        <v>268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소정면 대곡리 471-4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7000</v>
      </c>
      <c r="G1307" s="4" t="n">
        <v>268</v>
      </c>
      <c r="H1307" s="4" t="n">
        <v>81</v>
      </c>
      <c r="I1307" s="5" t="n">
        <v>86.40000000000001</v>
      </c>
      <c r="J1307" s="5" t="n">
        <v>55.7</v>
      </c>
      <c r="K1307" s="3" t="inlineStr">
        <is>
          <t>소정면 대곡리 가격절충가능</t>
        </is>
      </c>
      <c r="L1307" s="6">
        <f>HYPERLINK("https://fin.land.naver.com/articles/2652933750", "매물Link")</f>
        <v/>
      </c>
      <c r="M1307" s="6">
        <f>HYPERLINK("https://map.naver.com/p/search/소정면 대곡리 471-4", "지도Link")</f>
        <v/>
      </c>
      <c r="N1307" s="6">
        <f>HYPERLINK("http://www.eum.go.kr/web/ar/lu/luLandDet.jsp?pnu=3611039023104710004&amp;isNoScr=script&amp;mode=search", "토지이음")</f>
        <v/>
      </c>
      <c r="O1307" s="3" t="inlineStr">
        <is>
          <t>88</t>
        </is>
      </c>
      <c r="P1307" s="4" t="n">
        <v>1</v>
      </c>
      <c r="Q1307" s="4" t="n">
        <v>268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소정면 대곡리 539-4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8900</v>
      </c>
      <c r="G1308" s="4" t="n">
        <v>1176</v>
      </c>
      <c r="H1308" s="4" t="n">
        <v>356</v>
      </c>
      <c r="I1308" s="5" t="n">
        <v>25</v>
      </c>
      <c r="J1308" s="5" t="n">
        <v>11.8</v>
      </c>
      <c r="K1308" s="3" t="inlineStr">
        <is>
          <t>nan</t>
        </is>
      </c>
      <c r="L1308" s="6">
        <f>HYPERLINK("https://fin.land.naver.com/articles/2655061325", "매물Link")</f>
        <v/>
      </c>
      <c r="M1308" s="6">
        <f>HYPERLINK("https://map.naver.com/p/search/소정면 대곡리 539-4", "지도Link")</f>
        <v/>
      </c>
      <c r="N1308" s="6">
        <f>HYPERLINK("http://www.eum.go.kr/web/ar/lu/luLandDet.jsp?pnu=3611039023105390004&amp;isNoScr=script&amp;mode=search", "토지이음")</f>
        <v/>
      </c>
      <c r="O1308" s="3" t="inlineStr">
        <is>
          <t>세종소담황금</t>
        </is>
      </c>
      <c r="P1308" s="4" t="n">
        <v>1</v>
      </c>
      <c r="Q1308" s="4" t="n">
        <v>850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545-14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</v>
      </c>
      <c r="G1309" s="4" t="n">
        <v>2648</v>
      </c>
      <c r="H1309" s="4" t="n">
        <v>801</v>
      </c>
      <c r="I1309" s="5" t="n">
        <v>22.5</v>
      </c>
      <c r="J1309" s="5" t="n">
        <v>11</v>
      </c>
      <c r="K1309" s="3" t="inlineStr">
        <is>
          <t>농지 초급매  세종시 농지 매도합니다. 대토추천</t>
        </is>
      </c>
      <c r="L1309" s="6">
        <f>HYPERLINK("https://fin.land.naver.com/articles/2652142064", "매물Link")</f>
        <v/>
      </c>
      <c r="M1309" s="6">
        <f>HYPERLINK("https://map.naver.com/p/search/소정면 대곡리 545-14", "지도Link")</f>
        <v/>
      </c>
      <c r="N1309" s="6">
        <f>HYPERLINK("http://www.eum.go.kr/web/ar/lu/luLandDet.jsp?pnu=3611039023105450014&amp;isNoScr=script&amp;mode=search",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1858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소정면 대곡리 545-14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18000</v>
      </c>
      <c r="G1310" s="4" t="n">
        <v>2648</v>
      </c>
      <c r="H1310" s="4" t="n">
        <v>801</v>
      </c>
      <c r="I1310" s="5" t="n">
        <v>22.5</v>
      </c>
      <c r="J1310" s="5" t="n">
        <v>11</v>
      </c>
      <c r="K1310" s="3" t="inlineStr">
        <is>
          <t>소정면 대곡리 농림지역 토지매매</t>
        </is>
      </c>
      <c r="L1310" s="6">
        <f>HYPERLINK("https://fin.land.naver.com/articles/2656412794", "매물Link")</f>
        <v/>
      </c>
      <c r="M1310" s="6">
        <f>HYPERLINK("https://map.naver.com/p/search/소정면 대곡리 545-14", "지도Link")</f>
        <v/>
      </c>
      <c r="N1310" s="6">
        <f>HYPERLINK("http://www.eum.go.kr/web/ar/lu/luLandDet.jsp?pnu=3611039023105450014&amp;isNoScr=script&amp;mode=search",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1858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소정면 대곡리 산22-1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36740</v>
      </c>
      <c r="G1311" s="4" t="n">
        <v>6072</v>
      </c>
      <c r="H1311" s="4" t="n">
        <v>1837</v>
      </c>
      <c r="I1311" s="5" t="n">
        <v>20</v>
      </c>
      <c r="J1311" s="5" t="n">
        <v>2.5</v>
      </c>
      <c r="K1311" s="3" t="inlineStr">
        <is>
          <t>세종시 저렴한 임야</t>
        </is>
      </c>
      <c r="L1311" s="6">
        <f>HYPERLINK("https://fin.land.naver.com/articles/2656218986", "매물Link")</f>
        <v/>
      </c>
      <c r="M1311" s="6">
        <f>HYPERLINK("https://map.naver.com/p/search/소정면 대곡리 산22-1", "지도Link")</f>
        <v/>
      </c>
      <c r="N1311" s="6">
        <f>HYPERLINK("http://www.eum.go.kr/web/ar/lu/luLandDet.jsp?pnu=3611039023200220001&amp;isNoScr=script&amp;mode=search", "토지이음")</f>
        <v/>
      </c>
      <c r="O1311" s="3" t="inlineStr">
        <is>
          <t>북세종</t>
        </is>
      </c>
      <c r="P1311" s="4" t="n">
        <v>1</v>
      </c>
      <c r="Q1311" s="4" t="n">
        <v>6074</v>
      </c>
      <c r="R1311" s="3" t="inlineStr">
        <is>
          <t>보전관리지역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산38</t>
        </is>
      </c>
      <c r="B1312" s="3" t="inlineStr">
        <is>
          <t>농림지역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40000</v>
      </c>
      <c r="G1312" s="4" t="n">
        <v>6545</v>
      </c>
      <c r="H1312" s="4" t="n">
        <v>1980</v>
      </c>
      <c r="I1312" s="5" t="n">
        <v>20.2</v>
      </c>
      <c r="J1312" s="5" t="n">
        <v>3.4</v>
      </c>
      <c r="K1312" s="3" t="inlineStr">
        <is>
          <t>2차선 도로변 인접한 임야</t>
        </is>
      </c>
      <c r="L1312" s="6">
        <f>HYPERLINK("https://fin.land.naver.com/articles/2651403499", "매물Link")</f>
        <v/>
      </c>
      <c r="M1312" s="6">
        <f>HYPERLINK("https://map.naver.com/p/search/소정면 대곡리 산38", "지도Link")</f>
        <v/>
      </c>
      <c r="N1312" s="6">
        <f>HYPERLINK("http://www.eum.go.kr/web/ar/lu/luLandDet.jsp?pnu=3611039023200380000&amp;isNoScr=script&amp;mode=search",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6545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소정면 대곡리 산5-1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150000</v>
      </c>
      <c r="G1313" s="4" t="n">
        <v>63570</v>
      </c>
      <c r="H1313" s="4" t="n">
        <v>19230</v>
      </c>
      <c r="I1313" s="5" t="n">
        <v>7.8</v>
      </c>
      <c r="J1313" s="5" t="n">
        <v>5.2</v>
      </c>
      <c r="K1313" s="3" t="inlineStr">
        <is>
          <t>올 계획관리지역</t>
        </is>
      </c>
      <c r="L1313" s="6">
        <f>HYPERLINK("https://fin.land.naver.com/articles/2652931285", "매물Link")</f>
        <v/>
      </c>
      <c r="M1313" s="6">
        <f>HYPERLINK("https://map.naver.com/p/search/소정면 대곡리 산5-1", "지도Link")</f>
        <v/>
      </c>
      <c r="N1313" s="6">
        <f>HYPERLINK("http://www.eum.go.kr/web/ar/lu/luLandDet.jsp?pnu=3611039023200050001&amp;isNoScr=script&amp;mode=search", "토지이음")</f>
        <v/>
      </c>
      <c r="O1313" s="3" t="inlineStr">
        <is>
          <t>으뜸</t>
        </is>
      </c>
      <c r="P1313" s="4" t="n">
        <v>1</v>
      </c>
      <c r="Q1313" s="4" t="n">
        <v>63570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소정면 대곡리 산5-1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150000</v>
      </c>
      <c r="G1314" s="4" t="n">
        <v>63570</v>
      </c>
      <c r="H1314" s="4" t="n">
        <v>19230</v>
      </c>
      <c r="I1314" s="5" t="n">
        <v>7.8</v>
      </c>
      <c r="J1314" s="5" t="n">
        <v>5.2</v>
      </c>
      <c r="K1314" s="3" t="inlineStr">
        <is>
          <t>소정면 대곡리 계획관리 임야, 저렴한가격, 개발용, 남천안IC 인근</t>
        </is>
      </c>
      <c r="L1314" s="6">
        <f>HYPERLINK("https://fin.land.naver.com/articles/2654025437", "매물Link")</f>
        <v/>
      </c>
      <c r="M1314" s="6">
        <f>HYPERLINK("https://map.naver.com/p/search/소정면 대곡리 산5-1", "지도Link")</f>
        <v/>
      </c>
      <c r="N1314" s="6">
        <f>HYPERLINK("http://www.eum.go.kr/web/ar/lu/luLandDet.jsp?pnu=3611039023200050001&amp;isNoScr=script&amp;mode=search", "토지이음")</f>
        <v/>
      </c>
      <c r="O1314" s="3" t="inlineStr">
        <is>
          <t>스카이</t>
        </is>
      </c>
      <c r="P1314" s="4" t="n">
        <v>3</v>
      </c>
      <c r="Q1314" s="4" t="n">
        <v>63570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산51-12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300000</v>
      </c>
      <c r="G1315" s="4" t="n">
        <v>53456</v>
      </c>
      <c r="H1315" s="4" t="n">
        <v>16170</v>
      </c>
      <c r="I1315" s="5" t="n">
        <v>18.6</v>
      </c>
      <c r="J1315" s="5" t="n">
        <v>3.2</v>
      </c>
      <c r="K1315" s="3" t="inlineStr">
        <is>
          <t>소정면 대곡리 4차선 도로 옆 계획관리 토지, 남풍세 및 남천안IC</t>
        </is>
      </c>
      <c r="L1315" s="6">
        <f>HYPERLINK("https://fin.land.naver.com/articles/2654025524", "매물Link")</f>
        <v/>
      </c>
      <c r="M1315" s="6">
        <f>HYPERLINK("https://map.naver.com/p/search/소정면 대곡리 산51-12", "지도Link")</f>
        <v/>
      </c>
      <c r="N1315" s="6">
        <f>HYPERLINK("http://www.eum.go.kr/web/ar/lu/luLandDet.jsp?pnu=3611039023200510012&amp;isNoScr=script&amp;mode=search", "토지이음")</f>
        <v/>
      </c>
      <c r="O1315" s="3" t="inlineStr">
        <is>
          <t>스카이</t>
        </is>
      </c>
      <c r="P1315" s="4" t="n">
        <v>1</v>
      </c>
      <c r="Q1315" s="4" t="n">
        <v>3464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산95</t>
        </is>
      </c>
      <c r="B1316" s="3" t="inlineStr">
        <is>
          <t>농림지역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95000</v>
      </c>
      <c r="G1316" s="4" t="n">
        <v>39669</v>
      </c>
      <c r="H1316" s="4" t="n">
        <v>12000</v>
      </c>
      <c r="I1316" s="5" t="n">
        <v>7.9</v>
      </c>
      <c r="J1316" s="5" t="n">
        <v>1.4</v>
      </c>
      <c r="K1316" s="3" t="inlineStr">
        <is>
          <t>공장설립승인지역  임업진흥권역  준보전산지  골프장주변</t>
        </is>
      </c>
      <c r="L1316" s="6">
        <f>HYPERLINK("https://fin.land.naver.com/articles/2655801224", "매물Link")</f>
        <v/>
      </c>
      <c r="M1316" s="6">
        <f>HYPERLINK("https://map.naver.com/p/search/소정면 대곡리 산95", "지도Link")</f>
        <v/>
      </c>
      <c r="N1316" s="6">
        <f>HYPERLINK("http://www.eum.go.kr/web/ar/lu/luLandDet.jsp?pnu=3611039023200950000&amp;isNoScr=script&amp;mode=search", "토지이음")</f>
        <v/>
      </c>
      <c r="O1316" s="3" t="inlineStr">
        <is>
          <t>가재울스타</t>
        </is>
      </c>
      <c r="P1316" s="4" t="n">
        <v>1</v>
      </c>
      <c r="Q1316" s="4" t="n">
        <v>39669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급경사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소정리 16-1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26700</v>
      </c>
      <c r="G1317" s="4" t="n">
        <v>1762</v>
      </c>
      <c r="H1317" s="4" t="n">
        <v>533</v>
      </c>
      <c r="I1317" s="5" t="n">
        <v>50.1</v>
      </c>
      <c r="J1317" s="5" t="n">
        <v>24.6</v>
      </c>
      <c r="K1317" s="3" t="inlineStr">
        <is>
          <t>소정역 인근 모양좋은 생산관리 토지</t>
        </is>
      </c>
      <c r="L1317" s="6">
        <f>HYPERLINK("https://fin.land.naver.com/articles/2655065333", "매물Link")</f>
        <v/>
      </c>
      <c r="M1317" s="6">
        <f>HYPERLINK("https://map.naver.com/p/search/소정면 소정리 16-1", "지도Link")</f>
        <v/>
      </c>
      <c r="N1317" s="6">
        <f>HYPERLINK("http://www.eum.go.kr/web/ar/lu/luLandDet.jsp?pnu=3611039021100160001&amp;isNoScr=script&amp;mode=search", "토지이음")</f>
        <v/>
      </c>
      <c r="O1317" s="3" t="inlineStr">
        <is>
          <t>불당대동</t>
        </is>
      </c>
      <c r="P1317" s="4" t="n">
        <v>1</v>
      </c>
      <c r="Q1317" s="4" t="n">
        <v>1762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소정면 소정리 193-1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9000</v>
      </c>
      <c r="G1318" s="4" t="n">
        <v>172</v>
      </c>
      <c r="H1318" s="4" t="n">
        <v>52</v>
      </c>
      <c r="I1318" s="5" t="n">
        <v>173.1</v>
      </c>
      <c r="J1318" s="5" t="n">
        <v>98.40000000000001</v>
      </c>
      <c r="K1318" s="3" t="inlineStr">
        <is>
          <t>2차선 대로 접한 대지 매매, 주택,상가주택 부지.</t>
        </is>
      </c>
      <c r="L1318" s="6">
        <f>HYPERLINK("https://fin.land.naver.com/articles/2651318348", "매물Link")</f>
        <v/>
      </c>
      <c r="M1318" s="6">
        <f>HYPERLINK("https://map.naver.com/p/search/소정면 소정리 193-1", "지도Link")</f>
        <v/>
      </c>
      <c r="N1318" s="6">
        <f>HYPERLINK("http://www.eum.go.kr/web/ar/lu/luLandDet.jsp?pnu=3611039021101930001&amp;isNoScr=script&amp;mode=search", "토지이음")</f>
        <v/>
      </c>
      <c r="O1318" s="3" t="inlineStr">
        <is>
          <t>좋은</t>
        </is>
      </c>
      <c r="P1318" s="4" t="n">
        <v>1</v>
      </c>
      <c r="Q1318" s="4" t="n">
        <v>172.2</v>
      </c>
      <c r="R1318" s="3" t="inlineStr">
        <is>
          <t>지정되지않음</t>
        </is>
      </c>
      <c r="S1318" s="3" t="inlineStr">
        <is>
          <t>주상기타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중로한면</t>
        </is>
      </c>
    </row>
    <row r="1319">
      <c r="A1319" s="3" t="inlineStr">
        <is>
          <t>소정면 소정리 286-1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53400</v>
      </c>
      <c r="G1319" s="4" t="n">
        <v>1177</v>
      </c>
      <c r="H1319" s="4" t="n">
        <v>356</v>
      </c>
      <c r="I1319" s="5" t="n">
        <v>150</v>
      </c>
      <c r="J1319" s="5" t="n">
        <v>54.5</v>
      </c>
      <c r="K1319" s="3" t="inlineStr">
        <is>
          <t>소정면 소정리 2차선변 계획관리 토지, 남풍세IC, 근생 및 창고 건축</t>
        </is>
      </c>
      <c r="L1319" s="6">
        <f>HYPERLINK("https://fin.land.naver.com/articles/2654027408", "매물Link")</f>
        <v/>
      </c>
      <c r="M1319" s="6">
        <f>HYPERLINK("https://map.naver.com/p/search/소정면 소정리 286-1", "지도Link")</f>
        <v/>
      </c>
      <c r="N1319" s="6">
        <f>HYPERLINK("http://www.eum.go.kr/web/ar/lu/luLandDet.jsp?pnu=3611039021102860001&amp;isNoScr=script&amp;mode=search",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1177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중로한면</t>
        </is>
      </c>
    </row>
    <row r="1320">
      <c r="A1320" s="3" t="inlineStr">
        <is>
          <t>소정면 소정리 33-3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59000</v>
      </c>
      <c r="G1320" s="4" t="n">
        <v>1650</v>
      </c>
      <c r="H1320" s="4" t="n">
        <v>499</v>
      </c>
      <c r="I1320" s="5" t="n">
        <v>118.2</v>
      </c>
      <c r="J1320" s="5" t="n">
        <v>43.6</v>
      </c>
      <c r="K1320" s="3" t="inlineStr">
        <is>
          <t>초급매,도로접 계획관리,융복합미래도시 소정지구 도시개발구역,가격조정가능</t>
        </is>
      </c>
      <c r="L1320" s="6">
        <f>HYPERLINK("https://fin.land.naver.com/articles/2652437429", "매물Link")</f>
        <v/>
      </c>
      <c r="M1320" s="6">
        <f>HYPERLINK("https://map.naver.com/p/search/소정면 소정리 33-3", "지도Link")</f>
        <v/>
      </c>
      <c r="N1320" s="6">
        <f>HYPERLINK("http://www.eum.go.kr/web/ar/lu/luLandDet.jsp?pnu=3611039021100330003&amp;isNoScr=script&amp;mode=search", "토지이음")</f>
        <v/>
      </c>
      <c r="O1320" s="3" t="inlineStr">
        <is>
          <t>고운맘</t>
        </is>
      </c>
      <c r="P1320" s="4" t="n">
        <v>1</v>
      </c>
      <c r="Q1320" s="4" t="n">
        <v>660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소정리 371-2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100905</v>
      </c>
      <c r="G1321" s="4" t="n">
        <v>9527</v>
      </c>
      <c r="H1321" s="4" t="n">
        <v>2882</v>
      </c>
      <c r="I1321" s="5" t="n">
        <v>35</v>
      </c>
      <c r="J1321" s="5" t="n">
        <v>12.7</v>
      </c>
      <c r="K1321" s="3" t="inlineStr">
        <is>
          <t>1번국도 소정2리 교차로 접한토지</t>
        </is>
      </c>
      <c r="L1321" s="6">
        <f>HYPERLINK("https://fin.land.naver.com/articles/2652375202", "매물Link")</f>
        <v/>
      </c>
      <c r="M1321" s="6">
        <f>HYPERLINK("https://map.naver.com/p/search/소정면 소정리 371-2", "지도Link")</f>
        <v/>
      </c>
      <c r="N1321" s="6">
        <f>HYPERLINK("http://www.eum.go.kr/web/ar/lu/luLandDet.jsp?pnu=3611039021103710002&amp;isNoScr=script&amp;mode=search", "토지이음")</f>
        <v/>
      </c>
      <c r="O1321" s="3" t="inlineStr">
        <is>
          <t>가람</t>
        </is>
      </c>
      <c r="P1321" s="4" t="n">
        <v>1</v>
      </c>
      <c r="Q1321" s="4" t="n">
        <v>3515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세로한면(가)</t>
        </is>
      </c>
    </row>
    <row r="1322">
      <c r="A1322" s="3" t="inlineStr">
        <is>
          <t>소정면 소정리 409-3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11000</v>
      </c>
      <c r="G1322" s="4" t="n">
        <v>364</v>
      </c>
      <c r="H1322" s="4" t="n">
        <v>110</v>
      </c>
      <c r="I1322" s="5" t="n">
        <v>100</v>
      </c>
      <c r="J1322" s="5" t="n">
        <v>54.8</v>
      </c>
      <c r="K1322" s="3" t="inlineStr">
        <is>
          <t>주택신축 하는데 딱 이정도면 되지않을까요</t>
        </is>
      </c>
      <c r="L1322" s="6">
        <f>HYPERLINK("https://fin.land.naver.com/articles/2654842253", "매물Link")</f>
        <v/>
      </c>
      <c r="M1322" s="6">
        <f>HYPERLINK("https://map.naver.com/p/search/소정면 소정리 409-3", "지도Link")</f>
        <v/>
      </c>
      <c r="N1322" s="6">
        <f>HYPERLINK("http://www.eum.go.kr/web/ar/lu/luLandDet.jsp?pnu=3611039021104090003&amp;isNoScr=script&amp;mode=search", "토지이음")</f>
        <v/>
      </c>
      <c r="O1322" s="3" t="inlineStr">
        <is>
          <t>용궁</t>
        </is>
      </c>
      <c r="P1322" s="4" t="n">
        <v>1</v>
      </c>
      <c r="Q1322" s="4" t="n">
        <v>331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소정면 소정리 451-1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2734</v>
      </c>
      <c r="H1323" s="4" t="n">
        <v>827</v>
      </c>
      <c r="I1323" s="5" t="n">
        <v>102.8</v>
      </c>
      <c r="J1323" s="5" t="n">
        <v>28.6</v>
      </c>
      <c r="K1323" s="3" t="inlineStr">
        <is>
          <t>(명당추천)천안아산역 15km 15분 분할 가능한 전원주택 매매</t>
        </is>
      </c>
      <c r="L1323" s="6">
        <f>HYPERLINK("https://fin.land.naver.com/articles/2652708398", "매물Link")</f>
        <v/>
      </c>
      <c r="M1323" s="6">
        <f>HYPERLINK("https://map.naver.com/p/search/소정면 소정리 451-1", "지도Link")</f>
        <v/>
      </c>
      <c r="N1323" s="6">
        <f>HYPERLINK("http://www.eum.go.kr/web/ar/lu/luLandDet.jsp?pnu=3611039021104510001&amp;isNoScr=script&amp;mode=search", "토지이음")</f>
        <v/>
      </c>
      <c r="O1323" s="3" t="inlineStr">
        <is>
          <t>올라</t>
        </is>
      </c>
      <c r="P1323" s="4" t="n">
        <v>1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49-12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66000</v>
      </c>
      <c r="G1324" s="4" t="n">
        <v>992</v>
      </c>
      <c r="H1324" s="4" t="n">
        <v>300</v>
      </c>
      <c r="I1324" s="5" t="n">
        <v>220</v>
      </c>
      <c r="J1324" s="5" t="n">
        <v>96</v>
      </c>
      <c r="K1324" s="3" t="inlineStr">
        <is>
          <t>2차선 도로에 붙은 정사각형  토지 매매</t>
        </is>
      </c>
      <c r="L1324" s="6">
        <f>HYPERLINK("https://fin.land.naver.com/articles/2653287756", "매물Link")</f>
        <v/>
      </c>
      <c r="M1324" s="6">
        <f>HYPERLINK("https://map.naver.com/p/search/소정면 소정리 49-12", "지도Link")</f>
        <v/>
      </c>
      <c r="N1324" s="6">
        <f>HYPERLINK("http://www.eum.go.kr/web/ar/lu/luLandDet.jsp?pnu=3611039021100490012&amp;isNoScr=script&amp;mode=search", "토지이음")</f>
        <v/>
      </c>
      <c r="O1324" s="3" t="inlineStr">
        <is>
          <t>주식회사넥서스</t>
        </is>
      </c>
      <c r="P1324" s="4" t="n">
        <v>2</v>
      </c>
      <c r="Q1324" s="4" t="n">
        <v>992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중로한면</t>
        </is>
      </c>
    </row>
    <row r="1325">
      <c r="A1325" s="3" t="inlineStr">
        <is>
          <t>소정면 소정리 492-7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22900</v>
      </c>
      <c r="G1325" s="4" t="n">
        <v>638</v>
      </c>
      <c r="H1325" s="4" t="n">
        <v>193</v>
      </c>
      <c r="I1325" s="5" t="n">
        <v>118.7</v>
      </c>
      <c r="J1325" s="5" t="n">
        <v>60.2</v>
      </c>
      <c r="K1325" s="3" t="inlineStr">
        <is>
          <t>모양좋은 저렴한 나대지 매매</t>
        </is>
      </c>
      <c r="L1325" s="6">
        <f>HYPERLINK("https://fin.land.naver.com/articles/2653195383", "매물Link")</f>
        <v/>
      </c>
      <c r="M1325" s="6">
        <f>HYPERLINK("https://map.naver.com/p/search/소정면 소정리 492-7", "지도Link")</f>
        <v/>
      </c>
      <c r="N1325" s="6">
        <f>HYPERLINK("http://www.eum.go.kr/web/ar/lu/luLandDet.jsp?pnu=3611039021104920007&amp;isNoScr=script&amp;mode=search", "토지이음")</f>
        <v/>
      </c>
      <c r="O1325" s="3" t="inlineStr">
        <is>
          <t>THE행복</t>
        </is>
      </c>
      <c r="P1325" s="4" t="n">
        <v>2</v>
      </c>
      <c r="Q1325" s="4" t="n">
        <v>637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소정면 소정리 492-7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22900</v>
      </c>
      <c r="G1326" s="4" t="n">
        <v>637</v>
      </c>
      <c r="H1326" s="4" t="n">
        <v>193</v>
      </c>
      <c r="I1326" s="5" t="n">
        <v>118.7</v>
      </c>
      <c r="J1326" s="5" t="n">
        <v>60.2</v>
      </c>
      <c r="K1326" s="3" t="inlineStr">
        <is>
          <t>급매 세종소정리 계획관리 도로접 대지 전원주택 주말농장 농촌체류형쉼터</t>
        </is>
      </c>
      <c r="L1326" s="6">
        <f>HYPERLINK("https://fin.land.naver.com/articles/2652667055", "매물Link")</f>
        <v/>
      </c>
      <c r="M1326" s="6">
        <f>HYPERLINK("https://map.naver.com/p/search/소정면 소정리 492-7", "지도Link")</f>
        <v/>
      </c>
      <c r="N1326" s="6">
        <f>HYPERLINK("http://www.eum.go.kr/web/ar/lu/luLandDet.jsp?pnu=3611039021104920007&amp;isNoScr=script&amp;mode=search", "토지이음")</f>
        <v/>
      </c>
      <c r="O1326" s="3" t="inlineStr">
        <is>
          <t>천안삼거리</t>
        </is>
      </c>
      <c r="P1326" s="4" t="n">
        <v>1</v>
      </c>
      <c r="Q1326" s="4" t="n">
        <v>637</v>
      </c>
      <c r="R1326" s="3" t="inlineStr">
        <is>
          <t>지정되지않음</t>
        </is>
      </c>
      <c r="S1326" s="3" t="inlineStr">
        <is>
          <t>단독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511-10</t>
        </is>
      </c>
      <c r="B1327" s="3" t="inlineStr">
        <is>
          <t>보전관리지역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59000</v>
      </c>
      <c r="G1327" s="4" t="n">
        <v>6301</v>
      </c>
      <c r="H1327" s="4" t="n">
        <v>1906</v>
      </c>
      <c r="I1327" s="5" t="n">
        <v>31</v>
      </c>
      <c r="J1327" s="5" t="n">
        <v>4.8</v>
      </c>
      <c r="K1327" s="3" t="inlineStr">
        <is>
          <t>남풍세ic 차량1분거리 도로접 토지매매</t>
        </is>
      </c>
      <c r="L1327" s="6">
        <f>HYPERLINK("https://fin.land.naver.com/articles/2653671381", "매물Link")</f>
        <v/>
      </c>
      <c r="M1327" s="6">
        <f>HYPERLINK("https://map.naver.com/p/search/소정면 소정리 511-10", "지도Link")</f>
        <v/>
      </c>
      <c r="N1327" s="6">
        <f>HYPERLINK("http://www.eum.go.kr/web/ar/lu/luLandDet.jsp?pnu=3611039021105110010&amp;isNoScr=script&amp;mode=search", "토지이음")</f>
        <v/>
      </c>
      <c r="O1327" s="3" t="inlineStr">
        <is>
          <t>다모아</t>
        </is>
      </c>
      <c r="P1327" s="4" t="n">
        <v>2</v>
      </c>
      <c r="Q1327" s="4" t="n">
        <v>6301</v>
      </c>
      <c r="R1327" s="3" t="inlineStr">
        <is>
          <t>지정되지않음</t>
        </is>
      </c>
      <c r="S1327" s="3" t="inlineStr">
        <is>
          <t>자연림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소정리 512-2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29000</v>
      </c>
      <c r="G1328" s="4" t="n">
        <v>946</v>
      </c>
      <c r="H1328" s="4" t="n">
        <v>286</v>
      </c>
      <c r="I1328" s="5" t="n">
        <v>101.4</v>
      </c>
      <c r="J1328" s="5" t="n">
        <v>23.8</v>
      </c>
      <c r="K1328" s="3" t="inlineStr">
        <is>
          <t>도로접한 관리지역 토지 매매</t>
        </is>
      </c>
      <c r="L1328" s="6">
        <f>HYPERLINK("https://fin.land.naver.com/articles/2650856657", "매물Link")</f>
        <v/>
      </c>
      <c r="M1328" s="6">
        <f>HYPERLINK("https://map.naver.com/p/search/소정면 소정리 512-2", "지도Link")</f>
        <v/>
      </c>
      <c r="N1328" s="6">
        <f>HYPERLINK("http://www.eum.go.kr/web/ar/lu/luLandDet.jsp?pnu=3611039021105120002&amp;isNoScr=script&amp;mode=search", "토지이음")</f>
        <v/>
      </c>
      <c r="O1328" s="3" t="inlineStr">
        <is>
          <t>세종대박</t>
        </is>
      </c>
      <c r="P1328" s="4" t="n">
        <v>1</v>
      </c>
      <c r="Q1328" s="4" t="n">
        <v>946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소정면 소정리 77-1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40000</v>
      </c>
      <c r="G1329" s="4" t="n">
        <v>3202</v>
      </c>
      <c r="H1329" s="4" t="n">
        <v>969</v>
      </c>
      <c r="I1329" s="5" t="n">
        <v>41.3</v>
      </c>
      <c r="J1329" s="5" t="n">
        <v>11.5</v>
      </c>
      <c r="K1329" s="3" t="inlineStr">
        <is>
          <t>스마트팜 농장 매매. 시설비 금액별도</t>
        </is>
      </c>
      <c r="L1329" s="6">
        <f>HYPERLINK("https://fin.land.naver.com/articles/2653248680", "매물Link")</f>
        <v/>
      </c>
      <c r="M1329" s="6">
        <f>HYPERLINK("https://map.naver.com/p/search/소정면 소정리 77-1", "지도Link")</f>
        <v/>
      </c>
      <c r="N1329" s="6">
        <f>HYPERLINK("http://www.eum.go.kr/web/ar/lu/luLandDet.jsp?pnu=3611039021100770001&amp;isNoScr=script&amp;mode=search", "토지이음")</f>
        <v/>
      </c>
      <c r="O1329" s="3" t="inlineStr">
        <is>
          <t>주식회사넥서스</t>
        </is>
      </c>
      <c r="P1329" s="4" t="n">
        <v>1</v>
      </c>
      <c r="Q1329" s="4" t="n">
        <v>1738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세로한면(가)</t>
        </is>
      </c>
    </row>
    <row r="1330">
      <c r="A1330" s="3" t="inlineStr">
        <is>
          <t>소정면 소정리 86-2</t>
        </is>
      </c>
      <c r="B1330" s="3" t="inlineStr">
        <is>
          <t>농림지역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4200</v>
      </c>
      <c r="G1330" s="4" t="n">
        <v>690</v>
      </c>
      <c r="H1330" s="4" t="n">
        <v>209</v>
      </c>
      <c r="I1330" s="5" t="n">
        <v>20.1</v>
      </c>
      <c r="J1330" s="5" t="n">
        <v>11.7</v>
      </c>
      <c r="K1330" s="3" t="inlineStr">
        <is>
          <t>남풍세IC 접근 좋은 포장농로 접한 평탄 농지</t>
        </is>
      </c>
      <c r="L1330" s="6">
        <f>HYPERLINK("https://fin.land.naver.com/articles/2655066462", "매물Link")</f>
        <v/>
      </c>
      <c r="M1330" s="6">
        <f>HYPERLINK("https://map.naver.com/p/search/소정면 소정리 86-2", "지도Link")</f>
        <v/>
      </c>
      <c r="N1330" s="6">
        <f>HYPERLINK("http://www.eum.go.kr/web/ar/lu/luLandDet.jsp?pnu=3611039021100860002&amp;isNoScr=script&amp;mode=search",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691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세로한면(가)</t>
        </is>
      </c>
    </row>
    <row r="1331">
      <c r="A1331" s="3" t="inlineStr">
        <is>
          <t>소정면 소정리 91-2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21000</v>
      </c>
      <c r="G1331" s="4" t="n">
        <v>1983</v>
      </c>
      <c r="H1331" s="4" t="n">
        <v>600</v>
      </c>
      <c r="I1331" s="5" t="n">
        <v>35</v>
      </c>
      <c r="J1331" s="5" t="n">
        <v>12.5</v>
      </c>
      <c r="K1331" s="3" t="inlineStr">
        <is>
          <t>소정리 저렴한 농지 대토 추천 복토해서 밭으로 사용중입니다</t>
        </is>
      </c>
      <c r="L1331" s="6">
        <f>HYPERLINK("https://fin.land.naver.com/articles/2654338920", "매물Link")</f>
        <v/>
      </c>
      <c r="M1331" s="6">
        <f>HYPERLINK("https://map.naver.com/p/search/소정면 소정리 91-2", "지도Link")</f>
        <v/>
      </c>
      <c r="N1331" s="6">
        <f>HYPERLINK("http://www.eum.go.kr/web/ar/lu/luLandDet.jsp?pnu=3611039021100910002&amp;isNoScr=script&amp;mode=search", "토지이음")</f>
        <v/>
      </c>
      <c r="O1331" s="3" t="inlineStr">
        <is>
          <t>OK수</t>
        </is>
      </c>
      <c r="P1331" s="4" t="n">
        <v>1</v>
      </c>
      <c r="Q1331" s="4" t="n">
        <v>1983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소정면 운당리 142-3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47850</v>
      </c>
      <c r="G1332" s="4" t="n">
        <v>1438</v>
      </c>
      <c r="H1332" s="4" t="n">
        <v>435</v>
      </c>
      <c r="I1332" s="5" t="n">
        <v>110</v>
      </c>
      <c r="J1332" s="5" t="n">
        <v>42.6</v>
      </c>
      <c r="K1332" s="3" t="inlineStr">
        <is>
          <t>행정 수도 이전 완료 시 개발 이익 및 지가 상승 선취매 강력 추천 매물</t>
        </is>
      </c>
      <c r="L1332" s="6">
        <f>HYPERLINK("https://fin.land.naver.com/articles/2654901033", "매물Link")</f>
        <v/>
      </c>
      <c r="M1332" s="6">
        <f>HYPERLINK("https://map.naver.com/p/search/소정면 운당리 142-3", "지도Link")</f>
        <v/>
      </c>
      <c r="N1332" s="6">
        <f>HYPERLINK("http://www.eum.go.kr/web/ar/lu/luLandDet.jsp?pnu=3611039022101420003&amp;isNoScr=script&amp;mode=search", "토지이음")</f>
        <v/>
      </c>
      <c r="O1332" s="3" t="inlineStr">
        <is>
          <t>자이</t>
        </is>
      </c>
      <c r="P1332" s="4" t="n">
        <v>1</v>
      </c>
      <c r="Q1332" s="4" t="n">
        <v>1438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세로각지(가)</t>
        </is>
      </c>
    </row>
    <row r="1333">
      <c r="A1333" s="3" t="inlineStr">
        <is>
          <t>소정면 운당리 200-2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5000</v>
      </c>
      <c r="G1333" s="4" t="n">
        <v>552</v>
      </c>
      <c r="H1333" s="4" t="n">
        <v>167</v>
      </c>
      <c r="I1333" s="5" t="n">
        <v>29.9</v>
      </c>
      <c r="J1333" s="5" t="n">
        <v>13.7</v>
      </c>
      <c r="K1333" s="3" t="inlineStr">
        <is>
          <t>대토용으로 추천합니다.</t>
        </is>
      </c>
      <c r="L1333" s="6">
        <f>HYPERLINK("https://fin.land.naver.com/articles/2652931409", "매물Link")</f>
        <v/>
      </c>
      <c r="M1333" s="6">
        <f>HYPERLINK("https://map.naver.com/p/search/소정면 운당리 200-2", "지도Link")</f>
        <v/>
      </c>
      <c r="N1333" s="6">
        <f>HYPERLINK("http://www.eum.go.kr/web/ar/lu/luLandDet.jsp?pnu=3611039022102000002&amp;isNoScr=script&amp;mode=search", "토지이음")</f>
        <v/>
      </c>
      <c r="O1333" s="3" t="inlineStr">
        <is>
          <t>으뜸</t>
        </is>
      </c>
      <c r="P1333" s="4" t="n">
        <v>1</v>
      </c>
      <c r="Q1333" s="4" t="n">
        <v>552</v>
      </c>
      <c r="R1333" s="3" t="inlineStr">
        <is>
          <t>지정되지않음</t>
        </is>
      </c>
      <c r="S1333" s="3" t="inlineStr">
        <is>
          <t>답기타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소정면 운당리 206-8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24000</v>
      </c>
      <c r="G1334" s="4" t="n">
        <v>662</v>
      </c>
      <c r="H1334" s="4" t="n">
        <v>200</v>
      </c>
      <c r="I1334" s="5" t="n">
        <v>120</v>
      </c>
      <c r="J1334" s="5" t="n">
        <v>38.1</v>
      </c>
      <c r="K1334" s="3" t="inlineStr">
        <is>
          <t>건축가능한 토지, 계획관리지역</t>
        </is>
      </c>
      <c r="L1334" s="6">
        <f>HYPERLINK("https://fin.land.naver.com/articles/2650856645", "매물Link")</f>
        <v/>
      </c>
      <c r="M1334" s="6">
        <f>HYPERLINK("https://map.naver.com/p/search/소정면 운당리 206-8", "지도Link")</f>
        <v/>
      </c>
      <c r="N1334" s="6">
        <f>HYPERLINK("http://www.eum.go.kr/web/ar/lu/luLandDet.jsp?pnu=3611039022102060008&amp;isNoScr=script&amp;mode=search",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662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219-2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23500</v>
      </c>
      <c r="G1335" s="4" t="n">
        <v>1031</v>
      </c>
      <c r="H1335" s="4" t="n">
        <v>312</v>
      </c>
      <c r="I1335" s="5" t="n">
        <v>75.3</v>
      </c>
      <c r="J1335" s="5" t="n">
        <v>40.5</v>
      </c>
      <c r="K1335" s="3" t="inlineStr">
        <is>
          <t>계획관리 도로접한 토지모양 좋음 농가주택지 적합</t>
        </is>
      </c>
      <c r="L1335" s="6">
        <f>HYPERLINK("https://fin.land.naver.com/articles/2656343591", "매물Link")</f>
        <v/>
      </c>
      <c r="M1335" s="6">
        <f>HYPERLINK("https://map.naver.com/p/search/소정면 운당리 219-2", "지도Link")</f>
        <v/>
      </c>
      <c r="N1335" s="6">
        <f>HYPERLINK("http://www.eum.go.kr/web/ar/lu/luLandDet.jsp?pnu=3611039022102190002&amp;isNoScr=script&amp;mode=search", "토지이음")</f>
        <v/>
      </c>
      <c r="O1335" s="3" t="inlineStr">
        <is>
          <t>벽산</t>
        </is>
      </c>
      <c r="P1335" s="4" t="n">
        <v>1</v>
      </c>
      <c r="Q1335" s="4" t="n">
        <v>1031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소정면 운당리 227-2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24920</v>
      </c>
      <c r="G1336" s="4" t="n">
        <v>1030</v>
      </c>
      <c r="H1336" s="4" t="n">
        <v>312</v>
      </c>
      <c r="I1336" s="5" t="n">
        <v>79.90000000000001</v>
      </c>
      <c r="J1336" s="5" t="n">
        <v>40.5</v>
      </c>
      <c r="K1336" s="3" t="inlineStr">
        <is>
          <t>nan</t>
        </is>
      </c>
      <c r="L1336" s="6">
        <f>HYPERLINK("https://fin.land.naver.com/articles/2652198696", "매물Link")</f>
        <v/>
      </c>
      <c r="M1336" s="6">
        <f>HYPERLINK("https://map.naver.com/p/search/소정면 운당리 227-2", "지도Link")</f>
        <v/>
      </c>
      <c r="N1336" s="6">
        <f>HYPERLINK("http://www.eum.go.kr/web/ar/lu/luLandDet.jsp?pnu=3611039022102270002&amp;isNoScr=script&amp;mode=search", "토지이음")</f>
        <v/>
      </c>
      <c r="O1336" s="3" t="inlineStr">
        <is>
          <t>잘살아보세</t>
        </is>
      </c>
      <c r="P1336" s="4" t="n">
        <v>1</v>
      </c>
      <c r="Q1336" s="4" t="n">
        <v>1030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278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8552</v>
      </c>
      <c r="H1337" s="4" t="n">
        <v>2587</v>
      </c>
      <c r="I1337" s="5" t="n">
        <v>15.5</v>
      </c>
      <c r="J1337" s="5" t="n">
        <v>25.4</v>
      </c>
      <c r="K1337" s="3" t="inlineStr">
        <is>
          <t>공시지가 이하 소정면 운당리 계획관리 토지매매</t>
        </is>
      </c>
      <c r="L1337" s="6">
        <f>HYPERLINK("https://fin.land.naver.com/articles/2653341272", "매물Link")</f>
        <v/>
      </c>
      <c r="M1337" s="6">
        <f>HYPERLINK("https://map.naver.com/p/search/소정면 운당리 278", "지도Link")</f>
        <v/>
      </c>
      <c r="N1337" s="6">
        <f>HYPERLINK("http://www.eum.go.kr/web/ar/lu/luLandDet.jsp?pnu=3611039022102780000&amp;isNoScr=script&amp;mode=search", "토지이음")</f>
        <v/>
      </c>
      <c r="O1337" s="3" t="inlineStr">
        <is>
          <t>재화</t>
        </is>
      </c>
      <c r="P1337" s="4" t="n">
        <v>1</v>
      </c>
      <c r="Q1337" s="4" t="n">
        <v>1610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소정면 운당리 81-4</t>
        </is>
      </c>
      <c r="B1338" s="3" t="inlineStr">
        <is>
          <t>계획관리지역</t>
        </is>
      </c>
      <c r="C1338" s="3" t="inlineStr">
        <is>
          <t>임야</t>
        </is>
      </c>
      <c r="D1338" s="3" t="inlineStr">
        <is>
          <t>전</t>
        </is>
      </c>
      <c r="E1338" s="3" t="inlineStr">
        <is>
          <t>매매</t>
        </is>
      </c>
      <c r="F1338" s="4" t="n">
        <v>986000</v>
      </c>
      <c r="G1338" s="4" t="n">
        <v>19173</v>
      </c>
      <c r="H1338" s="4" t="n">
        <v>5800</v>
      </c>
      <c r="I1338" s="5" t="n">
        <v>170</v>
      </c>
      <c r="J1338" s="5" t="n">
        <v>4.9</v>
      </c>
      <c r="K1338" s="3" t="inlineStr">
        <is>
          <t>공장허가 완료 금속제조 창고 적합 대면적 부지</t>
        </is>
      </c>
      <c r="L1338" s="6">
        <f>HYPERLINK("https://fin.land.naver.com/articles/2655046472", "매물Link")</f>
        <v/>
      </c>
      <c r="M1338" s="6">
        <f>HYPERLINK("https://map.naver.com/p/search/소정면 운당리 81-4", "지도Link")</f>
        <v/>
      </c>
      <c r="N1338" s="6">
        <f>HYPERLINK("http://www.eum.go.kr/web/ar/lu/luLandDet.jsp?pnu=3611039022100810004&amp;isNoScr=script&amp;mode=search", "토지이음")</f>
        <v/>
      </c>
      <c r="O1338" s="3" t="inlineStr">
        <is>
          <t>세종소담황금</t>
        </is>
      </c>
      <c r="P1338" s="4" t="n">
        <v>1</v>
      </c>
      <c r="Q1338" s="4" t="n">
        <v>18457</v>
      </c>
      <c r="R1338" s="3" t="inlineStr">
        <is>
          <t>농림지역</t>
        </is>
      </c>
      <c r="S1338" s="3" t="inlineStr">
        <is>
          <t>자연림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운당리 96-1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36000</v>
      </c>
      <c r="G1339" s="4" t="n">
        <v>2297</v>
      </c>
      <c r="H1339" s="4" t="n">
        <v>695</v>
      </c>
      <c r="I1339" s="5" t="n">
        <v>51.8</v>
      </c>
      <c r="J1339" s="5" t="n">
        <v>23.2</v>
      </c>
      <c r="K1339" s="3" t="inlineStr">
        <is>
          <t>농가주택, 농업시설추천, 톨게이트인근</t>
        </is>
      </c>
      <c r="L1339" s="6">
        <f>HYPERLINK("https://fin.land.naver.com/articles/2653333039", "매물Link")</f>
        <v/>
      </c>
      <c r="M1339" s="6">
        <f>HYPERLINK("https://map.naver.com/p/search/소정면 운당리 96-1", "지도Link")</f>
        <v/>
      </c>
      <c r="N1339" s="6">
        <f>HYPERLINK("http://www.eum.go.kr/web/ar/lu/luLandDet.jsp?pnu=3611039022100960001&amp;isNoScr=script&amp;mode=search", "토지이음")</f>
        <v/>
      </c>
      <c r="O1339" s="3" t="inlineStr">
        <is>
          <t>도시</t>
        </is>
      </c>
      <c r="P1339" s="4" t="n">
        <v>1</v>
      </c>
      <c r="Q1339" s="4" t="n">
        <v>1149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아름동 1016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51000</v>
      </c>
      <c r="G1340" s="4" t="n">
        <v>291</v>
      </c>
      <c r="H1340" s="4" t="n">
        <v>88</v>
      </c>
      <c r="I1340" s="5" t="n">
        <v>579.5</v>
      </c>
      <c r="J1340" s="5" t="n">
        <v>331.9</v>
      </c>
      <c r="K1340" s="3" t="inlineStr">
        <is>
          <t>동문에 남향 집 지을 수 있는 땅</t>
        </is>
      </c>
      <c r="L1340" s="6">
        <f>HYPERLINK("https://fin.land.naver.com/articles/2652409741", "매물Link")</f>
        <v/>
      </c>
      <c r="M1340" s="6">
        <f>HYPERLINK("https://map.naver.com/p/search/아름동 1016", "지도Link")</f>
        <v/>
      </c>
      <c r="N1340" s="6">
        <f>HYPERLINK("http://www.eum.go.kr/web/ar/lu/luLandDet.jsp?pnu=3611011300110160000&amp;isNoScr=script&amp;mode=search", "토지이음")</f>
        <v/>
      </c>
      <c r="O1340" s="3" t="inlineStr">
        <is>
          <t>세종다정랜드</t>
        </is>
      </c>
      <c r="P1340" s="4" t="n">
        <v>1</v>
      </c>
      <c r="Q1340" s="4" t="n">
        <v>291.5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아름동 1037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65000</v>
      </c>
      <c r="G1341" s="4" t="n">
        <v>331</v>
      </c>
      <c r="H1341" s="4" t="n">
        <v>100</v>
      </c>
      <c r="I1341" s="5" t="n">
        <v>650</v>
      </c>
      <c r="J1341" s="5" t="n">
        <v>335.5</v>
      </c>
      <c r="K1341" s="3" t="inlineStr">
        <is>
          <t>전용100.5p, 국제고인근, 아름동 단독주택지</t>
        </is>
      </c>
      <c r="L1341" s="6">
        <f>HYPERLINK("https://fin.land.naver.com/articles/2652837740", "매물Link")</f>
        <v/>
      </c>
      <c r="M1341" s="6">
        <f>HYPERLINK("https://map.naver.com/p/search/아름동 1037", "지도Link")</f>
        <v/>
      </c>
      <c r="N1341" s="6">
        <f>HYPERLINK("http://www.eum.go.kr/web/ar/lu/luLandDet.jsp?pnu=3611011300110370000&amp;isNoScr=script&amp;mode=search",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331.9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1037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65000</v>
      </c>
      <c r="G1342" s="4" t="n">
        <v>331</v>
      </c>
      <c r="H1342" s="4" t="n">
        <v>100</v>
      </c>
      <c r="I1342" s="5" t="n">
        <v>650</v>
      </c>
      <c r="J1342" s="5" t="n">
        <v>335.5</v>
      </c>
      <c r="K1342" s="3" t="inlineStr">
        <is>
          <t>총 100.5p, 위치좋은 아름동 단독주택지 토지</t>
        </is>
      </c>
      <c r="L1342" s="6">
        <f>HYPERLINK("https://fin.land.naver.com/articles/2654923828", "매물Link")</f>
        <v/>
      </c>
      <c r="M1342" s="6">
        <f>HYPERLINK("https://map.naver.com/p/search/아름동 1037", "지도Link")</f>
        <v/>
      </c>
      <c r="N1342" s="6">
        <f>HYPERLINK("http://www.eum.go.kr/web/ar/lu/luLandDet.jsp?pnu=3611011300110370000&amp;isNoScr=script&amp;mode=search",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331.9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1049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83000</v>
      </c>
      <c r="G1343" s="4" t="n">
        <v>363</v>
      </c>
      <c r="H1343" s="4" t="n">
        <v>110</v>
      </c>
      <c r="I1343" s="5" t="n">
        <v>754.5</v>
      </c>
      <c r="J1343" s="5" t="n">
        <v>366.6</v>
      </c>
      <c r="K1343" s="3" t="inlineStr">
        <is>
          <t>nan</t>
        </is>
      </c>
      <c r="L1343" s="6">
        <f>HYPERLINK("https://fin.land.naver.com/articles/2652410495", "매물Link")</f>
        <v/>
      </c>
      <c r="M1343" s="6">
        <f>HYPERLINK("https://map.naver.com/p/search/아름동 1049", "지도Link")</f>
        <v/>
      </c>
      <c r="N1343" s="6">
        <f>HYPERLINK("http://www.eum.go.kr/web/ar/lu/luLandDet.jsp?pnu=3611011300110490000&amp;isNoScr=script&amp;mode=search", "토지이음")</f>
        <v/>
      </c>
      <c r="O1343" s="3" t="inlineStr">
        <is>
          <t>생명나무</t>
        </is>
      </c>
      <c r="P1343" s="4" t="n">
        <v>1</v>
      </c>
      <c r="Q1343" s="4" t="n">
        <v>363.6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소로각지</t>
        </is>
      </c>
    </row>
    <row r="1344">
      <c r="A1344" s="3" t="inlineStr">
        <is>
          <t>아름동 1079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357</v>
      </c>
      <c r="H1344" s="4" t="n">
        <v>108</v>
      </c>
      <c r="I1344" s="5" t="n">
        <v>601.9</v>
      </c>
      <c r="J1344" s="5" t="n">
        <v>353.1</v>
      </c>
      <c r="K1344" s="3" t="inlineStr">
        <is>
          <t>위치최상 벙커주차장가능 언덕 탁트인시야</t>
        </is>
      </c>
      <c r="L1344" s="6">
        <f>HYPERLINK("https://fin.land.naver.com/articles/2653670515", "매물Link")</f>
        <v/>
      </c>
      <c r="M1344" s="6">
        <f>HYPERLINK("https://map.naver.com/p/search/아름동 1079", "지도Link")</f>
        <v/>
      </c>
      <c r="N1344" s="6">
        <f>HYPERLINK("http://www.eum.go.kr/web/ar/lu/luLandDet.jsp?pnu=3611011300110790000&amp;isNoScr=script&amp;mode=search", "토지이음")</f>
        <v/>
      </c>
      <c r="O1344" s="3" t="inlineStr">
        <is>
          <t>세종스타</t>
        </is>
      </c>
      <c r="P1344" s="4" t="n">
        <v>1</v>
      </c>
      <c r="Q1344" s="4" t="n">
        <v>357.1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1116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359</v>
      </c>
      <c r="H1345" s="4" t="n">
        <v>109</v>
      </c>
      <c r="I1345" s="5" t="n">
        <v>761.5</v>
      </c>
      <c r="J1345" s="5" t="n">
        <v>373.9</v>
      </c>
      <c r="K1345" s="3" t="inlineStr">
        <is>
          <t>108.9p, 사거리 코너자리, 아름동 최고입지</t>
        </is>
      </c>
      <c r="L1345" s="6">
        <f>HYPERLINK("https://fin.land.naver.com/articles/2654694877", "매물Link")</f>
        <v/>
      </c>
      <c r="M1345" s="6">
        <f>HYPERLINK("https://map.naver.com/p/search/아름동 1116", "지도Link")</f>
        <v/>
      </c>
      <c r="N1345" s="6">
        <f>HYPERLINK("http://www.eum.go.kr/web/ar/lu/luLandDet.jsp?pnu=3611011300111160000&amp;isNoScr=script&amp;mode=search",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359.5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1116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83000</v>
      </c>
      <c r="G1346" s="4" t="n">
        <v>359</v>
      </c>
      <c r="H1346" s="4" t="n">
        <v>109</v>
      </c>
      <c r="I1346" s="5" t="n">
        <v>761.5</v>
      </c>
      <c r="J1346" s="5" t="n">
        <v>373.9</v>
      </c>
      <c r="K1346" s="3" t="inlineStr">
        <is>
          <t>총 108.9p, 사거리코너 위치좋은 입지</t>
        </is>
      </c>
      <c r="L1346" s="6">
        <f>HYPERLINK("https://fin.land.naver.com/articles/2653682969", "매물Link")</f>
        <v/>
      </c>
      <c r="M1346" s="6">
        <f>HYPERLINK("https://map.naver.com/p/search/아름동 1116", "지도Link")</f>
        <v/>
      </c>
      <c r="N1346" s="6">
        <f>HYPERLINK("http://www.eum.go.kr/web/ar/lu/luLandDet.jsp?pnu=3611011300111160000&amp;isNoScr=script&amp;mode=search",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359.5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아름동 1118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57000</v>
      </c>
      <c r="G1347" s="4" t="n">
        <v>327</v>
      </c>
      <c r="H1347" s="4" t="n">
        <v>99</v>
      </c>
      <c r="I1347" s="5" t="n">
        <v>575.8</v>
      </c>
      <c r="J1347" s="5" t="n">
        <v>373.9</v>
      </c>
      <c r="K1347" s="3" t="inlineStr">
        <is>
          <t>코너 정남향 위치최상 조율가능</t>
        </is>
      </c>
      <c r="L1347" s="6">
        <f>HYPERLINK("https://fin.land.naver.com/articles/2652418851", "매물Link")</f>
        <v/>
      </c>
      <c r="M1347" s="6">
        <f>HYPERLINK("https://map.naver.com/p/search/아름동 1118", "지도Link")</f>
        <v/>
      </c>
      <c r="N1347" s="6">
        <f>HYPERLINK("http://www.eum.go.kr/web/ar/lu/luLandDet.jsp?pnu=3611011300111180000&amp;isNoScr=script&amp;mode=search", "토지이음")</f>
        <v/>
      </c>
      <c r="O1347" s="3" t="inlineStr">
        <is>
          <t>세종스타</t>
        </is>
      </c>
      <c r="P1347" s="4" t="n">
        <v>2</v>
      </c>
      <c r="Q1347" s="4" t="n">
        <v>327.4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1121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60000</v>
      </c>
      <c r="G1348" s="4" t="n">
        <v>355</v>
      </c>
      <c r="H1348" s="4" t="n">
        <v>107</v>
      </c>
      <c r="I1348" s="5" t="n">
        <v>560.7</v>
      </c>
      <c r="J1348" s="5" t="n">
        <v>373.9</v>
      </c>
      <c r="K1348" s="3" t="inlineStr">
        <is>
          <t>공원옆 큰평수 추가조율가능</t>
        </is>
      </c>
      <c r="L1348" s="6">
        <f>HYPERLINK("https://fin.land.naver.com/articles/2652289224", "매물Link")</f>
        <v/>
      </c>
      <c r="M1348" s="6">
        <f>HYPERLINK("https://map.naver.com/p/search/아름동 1121", "지도Link")</f>
        <v/>
      </c>
      <c r="N1348" s="6">
        <f>HYPERLINK("http://www.eum.go.kr/web/ar/lu/luLandDet.jsp?pnu=3611011300111210000&amp;isNoScr=script&amp;mode=search", "토지이음")</f>
        <v/>
      </c>
      <c r="O1348" s="3" t="inlineStr">
        <is>
          <t>세종스타</t>
        </is>
      </c>
      <c r="P1348" s="4" t="n">
        <v>1</v>
      </c>
      <c r="Q1348" s="4" t="n">
        <v>355.4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1130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85000</v>
      </c>
      <c r="G1349" s="4" t="n">
        <v>348</v>
      </c>
      <c r="H1349" s="4" t="n">
        <v>105</v>
      </c>
      <c r="I1349" s="5" t="n">
        <v>809.5</v>
      </c>
      <c r="J1349" s="5" t="n">
        <v>356.4</v>
      </c>
      <c r="K1349" s="3" t="inlineStr">
        <is>
          <t>어린이공원 접한 주택지, 위치 좋아요, 가격 잘 맞춰보겠습니다</t>
        </is>
      </c>
      <c r="L1349" s="6">
        <f>HYPERLINK("https://fin.land.naver.com/articles/2653004367", "매물Link")</f>
        <v/>
      </c>
      <c r="M1349" s="6">
        <f>HYPERLINK("https://map.naver.com/p/search/아름동 1130", "지도Link")</f>
        <v/>
      </c>
      <c r="N1349" s="6">
        <f>HYPERLINK("http://www.eum.go.kr/web/ar/lu/luLandDet.jsp?pnu=3611011300111300000&amp;isNoScr=script&amp;mode=search", "토지이음")</f>
        <v/>
      </c>
      <c r="O1349" s="3" t="inlineStr">
        <is>
          <t>OK세종 사무소</t>
        </is>
      </c>
      <c r="P1349" s="4" t="n">
        <v>1</v>
      </c>
      <c r="Q1349" s="4" t="n">
        <v>348.3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소로한면</t>
        </is>
      </c>
    </row>
    <row r="1350">
      <c r="A1350" s="3" t="inlineStr">
        <is>
          <t>아름동 1135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83000</v>
      </c>
      <c r="G1350" s="4" t="n">
        <v>343</v>
      </c>
      <c r="H1350" s="4" t="n">
        <v>104</v>
      </c>
      <c r="I1350" s="5" t="n">
        <v>798.1</v>
      </c>
      <c r="J1350" s="5" t="n">
        <v>356.4</v>
      </c>
      <c r="K1350" s="3" t="inlineStr">
        <is>
          <t>아름동 위치좋은 주택지 급매</t>
        </is>
      </c>
      <c r="L1350" s="6">
        <f>HYPERLINK("https://fin.land.naver.com/articles/2653003944", "매물Link")</f>
        <v/>
      </c>
      <c r="M1350" s="6">
        <f>HYPERLINK("https://map.naver.com/p/search/아름동 1135", "지도Link")</f>
        <v/>
      </c>
      <c r="N1350" s="6">
        <f>HYPERLINK("http://www.eum.go.kr/web/ar/lu/luLandDet.jsp?pnu=3611011300111350000&amp;isNoScr=script&amp;mode=search", "토지이음")</f>
        <v/>
      </c>
      <c r="O1350" s="3" t="inlineStr">
        <is>
          <t>OK세종 사무소</t>
        </is>
      </c>
      <c r="P1350" s="4" t="n">
        <v>1</v>
      </c>
      <c r="Q1350" s="4" t="n">
        <v>343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소로한면</t>
        </is>
      </c>
    </row>
    <row r="1351">
      <c r="A1351" s="3" t="inlineStr">
        <is>
          <t>아름동 1142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52000</v>
      </c>
      <c r="G1351" s="4" t="n">
        <v>321</v>
      </c>
      <c r="H1351" s="4" t="n">
        <v>97</v>
      </c>
      <c r="I1351" s="5" t="n">
        <v>536.1</v>
      </c>
      <c r="J1351" s="5" t="n">
        <v>356.4</v>
      </c>
      <c r="K1351" s="3" t="inlineStr">
        <is>
          <t>충대병원 인근 가격 좋은 토지, 조율도 가능</t>
        </is>
      </c>
      <c r="L1351" s="6">
        <f>HYPERLINK("https://fin.land.naver.com/articles/2656262432", "매물Link")</f>
        <v/>
      </c>
      <c r="M1351" s="6">
        <f>HYPERLINK("https://map.naver.com/p/search/아름동 1142", "지도Link")</f>
        <v/>
      </c>
      <c r="N1351" s="6">
        <f>HYPERLINK("http://www.eum.go.kr/web/ar/lu/luLandDet.jsp?pnu=3611011300111420000&amp;isNoScr=script&amp;mode=search",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321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1142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52000</v>
      </c>
      <c r="G1352" s="4" t="n">
        <v>321</v>
      </c>
      <c r="H1352" s="4" t="n">
        <v>97</v>
      </c>
      <c r="I1352" s="5" t="n">
        <v>536.1</v>
      </c>
      <c r="J1352" s="5" t="n">
        <v>356.4</v>
      </c>
      <c r="K1352" s="3" t="inlineStr">
        <is>
          <t>급매 추가조율가능 입지좋은 충대병원인근</t>
        </is>
      </c>
      <c r="L1352" s="6">
        <f>HYPERLINK("https://fin.land.naver.com/articles/2651133638", "매물Link")</f>
        <v/>
      </c>
      <c r="M1352" s="6">
        <f>HYPERLINK("https://map.naver.com/p/search/아름동 1142", "지도Link")</f>
        <v/>
      </c>
      <c r="N1352" s="6">
        <f>HYPERLINK("http://www.eum.go.kr/web/ar/lu/luLandDet.jsp?pnu=3611011300111420000&amp;isNoScr=script&amp;mode=search", "토지이음")</f>
        <v/>
      </c>
      <c r="O1352" s="3" t="inlineStr">
        <is>
          <t>세종스타</t>
        </is>
      </c>
      <c r="P1352" s="4" t="n">
        <v>1</v>
      </c>
      <c r="Q1352" s="4" t="n">
        <v>321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97.6p, 충대병원 인근 토지 급매, 조율도가능</t>
        </is>
      </c>
      <c r="L1353" s="6">
        <f>HYPERLINK("https://fin.land.naver.com/articles/2653682221",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1144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348</v>
      </c>
      <c r="H1354" s="4" t="n">
        <v>105</v>
      </c>
      <c r="I1354" s="5" t="n">
        <v>571.4</v>
      </c>
      <c r="J1354" s="5" t="n">
        <v>373.9</v>
      </c>
      <c r="K1354" s="3" t="inlineStr">
        <is>
          <t>급매 추가조율가능 코너 위치최상급</t>
        </is>
      </c>
      <c r="L1354" s="6">
        <f>HYPERLINK("https://fin.land.naver.com/articles/2656073100", "매물Link")</f>
        <v/>
      </c>
      <c r="M1354" s="6">
        <f>HYPERLINK("https://map.naver.com/p/search/아름동 1144", "지도Link")</f>
        <v/>
      </c>
      <c r="N1354" s="6">
        <f>HYPERLINK("http://www.eum.go.kr/web/ar/lu/luLandDet.jsp?pnu=3611011300111440000&amp;isNoScr=script&amp;mode=search", "토지이음")</f>
        <v/>
      </c>
      <c r="O1354" s="3" t="inlineStr">
        <is>
          <t>세종스타</t>
        </is>
      </c>
      <c r="P1354" s="4" t="n">
        <v>3</v>
      </c>
      <c r="Q1354" s="4" t="n">
        <v>348.5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1150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74900</v>
      </c>
      <c r="G1355" s="4" t="n">
        <v>353</v>
      </c>
      <c r="H1355" s="4" t="n">
        <v>107</v>
      </c>
      <c r="I1355" s="5" t="n">
        <v>700</v>
      </c>
      <c r="J1355" s="5" t="n">
        <v>356.4</v>
      </c>
      <c r="K1355" s="3" t="inlineStr">
        <is>
          <t>세종충남대 병원 인근 단독주택 택지,뒷뜰이 오가낭뜰 숲속공원 ,풋살장등</t>
        </is>
      </c>
      <c r="L1355" s="6">
        <f>HYPERLINK("https://fin.land.naver.com/articles/2655744332", "매물Link")</f>
        <v/>
      </c>
      <c r="M1355" s="6">
        <f>HYPERLINK("https://map.naver.com/p/search/아름동 1150", "지도Link")</f>
        <v/>
      </c>
      <c r="N1355" s="6">
        <f>HYPERLINK("http://www.eum.go.kr/web/ar/lu/luLandDet.jsp?pnu=3611011300111500000&amp;isNoScr=script&amp;mode=search", "토지이음")</f>
        <v/>
      </c>
      <c r="O1355" s="3" t="inlineStr">
        <is>
          <t>신안무소</t>
        </is>
      </c>
      <c r="P1355" s="4" t="n">
        <v>1</v>
      </c>
      <c r="Q1355" s="4" t="n">
        <v>353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1154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342</v>
      </c>
      <c r="H1356" s="4" t="n">
        <v>103</v>
      </c>
      <c r="I1356" s="5" t="n">
        <v>679.6</v>
      </c>
      <c r="J1356" s="5" t="n">
        <v>356.4</v>
      </c>
      <c r="K1356" s="3" t="inlineStr">
        <is>
          <t>야산을 품은 아름동 단독주택지</t>
        </is>
      </c>
      <c r="L1356" s="6">
        <f>HYPERLINK("https://fin.land.naver.com/articles/2654124683", "매물Link")</f>
        <v/>
      </c>
      <c r="M1356" s="6">
        <f>HYPERLINK("https://map.naver.com/p/search/아름동 1154", "지도Link")</f>
        <v/>
      </c>
      <c r="N1356" s="6">
        <f>HYPERLINK("http://www.eum.go.kr/web/ar/lu/luLandDet.jsp?pnu=3611011300111540000&amp;isNoScr=script&amp;mode=search", "토지이음")</f>
        <v/>
      </c>
      <c r="O1356" s="3" t="inlineStr">
        <is>
          <t>킹세종</t>
        </is>
      </c>
      <c r="P1356" s="4" t="n">
        <v>2</v>
      </c>
      <c r="Q1356" s="4" t="n">
        <v>342.4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소로한면</t>
        </is>
      </c>
    </row>
    <row r="1357">
      <c r="A1357" s="3" t="inlineStr">
        <is>
          <t>아름동 1154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70000</v>
      </c>
      <c r="G1357" s="4" t="n">
        <v>342</v>
      </c>
      <c r="H1357" s="4" t="n">
        <v>103</v>
      </c>
      <c r="I1357" s="5" t="n">
        <v>679.6</v>
      </c>
      <c r="J1357" s="5" t="n">
        <v>356.4</v>
      </c>
      <c r="K1357" s="3" t="inlineStr">
        <is>
          <t>공원인근, 조용한 단독주택 토지</t>
        </is>
      </c>
      <c r="L1357" s="6">
        <f>HYPERLINK("https://fin.land.naver.com/articles/2652115592", "매물Link")</f>
        <v/>
      </c>
      <c r="M1357" s="6">
        <f>HYPERLINK("https://map.naver.com/p/search/아름동 1154", "지도Link")</f>
        <v/>
      </c>
      <c r="N1357" s="6">
        <f>HYPERLINK("http://www.eum.go.kr/web/ar/lu/luLandDet.jsp?pnu=3611011300111540000&amp;isNoScr=script&amp;mode=search",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342.4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정방형</t>
        </is>
      </c>
      <c r="V1357" s="3" t="inlineStr">
        <is>
          <t>소로한면</t>
        </is>
      </c>
    </row>
    <row r="1358">
      <c r="A1358" s="3" t="inlineStr">
        <is>
          <t>아름동 1163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180000</v>
      </c>
      <c r="G1358" s="4" t="n">
        <v>293</v>
      </c>
      <c r="H1358" s="4" t="n">
        <v>89</v>
      </c>
      <c r="I1358" s="5" t="n">
        <v>2022.5</v>
      </c>
      <c r="J1358" s="5" t="n">
        <v>734.2</v>
      </c>
      <c r="K1358" s="3" t="inlineStr">
        <is>
          <t>충대병원, 약국추천자리, 근생토지, 대로변 노출 좋은 자리</t>
        </is>
      </c>
      <c r="L1358" s="6">
        <f>HYPERLINK("https://fin.land.naver.com/articles/2651770352", "매물Link")</f>
        <v/>
      </c>
      <c r="M1358" s="6">
        <f>HYPERLINK("https://map.naver.com/p/search/아름동 1163", "지도Link")</f>
        <v/>
      </c>
      <c r="N1358" s="6">
        <f>HYPERLINK("http://www.eum.go.kr/web/ar/lu/luLandDet.jsp?pnu=3611011300111630000&amp;isNoScr=script&amp;mode=search", "토지이음")</f>
        <v/>
      </c>
      <c r="O1358" s="3" t="inlineStr">
        <is>
          <t>세종무지개</t>
        </is>
      </c>
      <c r="P1358" s="4" t="n">
        <v>1</v>
      </c>
      <c r="Q1358" s="4" t="n">
        <v>293.7</v>
      </c>
      <c r="R1358" s="3" t="inlineStr">
        <is>
          <t>지정되지않음</t>
        </is>
      </c>
      <c r="S1358" s="3" t="inlineStr">
        <is>
          <t>상업용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1163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293</v>
      </c>
      <c r="H1359" s="4" t="n">
        <v>89</v>
      </c>
      <c r="I1359" s="5" t="n">
        <v>2022.5</v>
      </c>
      <c r="J1359" s="5" t="n">
        <v>734.2</v>
      </c>
      <c r="K1359" s="3" t="inlineStr">
        <is>
          <t>충대병원 인접한 아름동 근생용지, 약국위치로 좋아요</t>
        </is>
      </c>
      <c r="L1359" s="6">
        <f>HYPERLINK("https://fin.land.naver.com/articles/2650939008", "매물Link")</f>
        <v/>
      </c>
      <c r="M1359" s="6">
        <f>HYPERLINK("https://map.naver.com/p/search/아름동 1163", "지도Link")</f>
        <v/>
      </c>
      <c r="N1359" s="6">
        <f>HYPERLINK("http://www.eum.go.kr/web/ar/lu/luLandDet.jsp?pnu=3611011300111630000&amp;isNoScr=script&amp;mode=search", "토지이음")</f>
        <v/>
      </c>
      <c r="O1359" s="3" t="inlineStr">
        <is>
          <t>OK세종 사무소</t>
        </is>
      </c>
      <c r="P1359" s="4" t="n">
        <v>1</v>
      </c>
      <c r="Q1359" s="4" t="n">
        <v>293.7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대로변 코너 노출 좋은 입지좋은 근생 토지 매매</t>
        </is>
      </c>
      <c r="L1360" s="6">
        <f>HYPERLINK("https://fin.land.naver.com/articles/2651943193",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명진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1182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317</v>
      </c>
      <c r="H1361" s="4" t="n">
        <v>96</v>
      </c>
      <c r="I1361" s="5" t="n">
        <v>1562.5</v>
      </c>
      <c r="J1361" s="5" t="n">
        <v>756.7</v>
      </c>
      <c r="K1361" s="3" t="inlineStr">
        <is>
          <t>근생용지, 도로변 광고효과 및 상권우수, 조율가능</t>
        </is>
      </c>
      <c r="L1361" s="6">
        <f>HYPERLINK("https://fin.land.naver.com/articles/2651035239", "매물Link")</f>
        <v/>
      </c>
      <c r="M1361" s="6">
        <f>HYPERLINK("https://map.naver.com/p/search/아름동 1182", "지도Link")</f>
        <v/>
      </c>
      <c r="N1361" s="6">
        <f>HYPERLINK("http://www.eum.go.kr/web/ar/lu/luLandDet.jsp?pnu=3611011300111820000&amp;isNoScr=script&amp;mode=search", "토지이음")</f>
        <v/>
      </c>
      <c r="O1361" s="3" t="inlineStr">
        <is>
          <t>한방</t>
        </is>
      </c>
      <c r="P1361" s="4" t="n">
        <v>1</v>
      </c>
      <c r="Q1361" s="4" t="n">
        <v>317.1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소로각지</t>
        </is>
      </c>
    </row>
    <row r="1362">
      <c r="A1362" s="3" t="inlineStr">
        <is>
          <t>아름동 1183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145000</v>
      </c>
      <c r="G1362" s="4" t="n">
        <v>317</v>
      </c>
      <c r="H1362" s="4" t="n">
        <v>96</v>
      </c>
      <c r="I1362" s="5" t="n">
        <v>1510.4</v>
      </c>
      <c r="J1362" s="5" t="n">
        <v>724</v>
      </c>
      <c r="K1362" s="3" t="inlineStr">
        <is>
          <t>근린생활시설 용지로서 대단위 아파트 전면에 위치하여 최고의 상권</t>
        </is>
      </c>
      <c r="L1362" s="6">
        <f>HYPERLINK("https://fin.land.naver.com/articles/2651956271", "매물Link")</f>
        <v/>
      </c>
      <c r="M1362" s="6">
        <f>HYPERLINK("https://map.naver.com/p/search/아름동 1183", "지도Link")</f>
        <v/>
      </c>
      <c r="N1362" s="6">
        <f>HYPERLINK("http://www.eum.go.kr/web/ar/lu/luLandDet.jsp?pnu=3611011300111830000&amp;isNoScr=script&amp;mode=search", "토지이음")</f>
        <v/>
      </c>
      <c r="O1362" s="3" t="inlineStr">
        <is>
          <t>대우마을</t>
        </is>
      </c>
      <c r="P1362" s="4" t="n">
        <v>1</v>
      </c>
      <c r="Q1362" s="4" t="n">
        <v>317.2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1183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724</v>
      </c>
      <c r="K1363" s="3" t="inlineStr">
        <is>
          <t>아름동 대로변 근생용지, 96.1p</t>
        </is>
      </c>
      <c r="L1363" s="6">
        <f>HYPERLINK("https://fin.land.naver.com/articles/2652839304", "매물Link")</f>
        <v/>
      </c>
      <c r="M1363" s="6">
        <f>HYPERLINK("https://map.naver.com/p/search/아름동 1183", "지도Link")</f>
        <v/>
      </c>
      <c r="N1363" s="6">
        <f>HYPERLINK("http://www.eum.go.kr/web/ar/lu/luLandDet.jsp?pnu=3611011300111830000&amp;isNoScr=script&amp;mode=search",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317.2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150000</v>
      </c>
      <c r="G1364" s="4" t="n">
        <v>317</v>
      </c>
      <c r="H1364" s="4" t="n">
        <v>96</v>
      </c>
      <c r="I1364" s="5" t="n">
        <v>1562.5</v>
      </c>
      <c r="J1364" s="5" t="n">
        <v>724</v>
      </c>
      <c r="K1364" s="3" t="inlineStr">
        <is>
          <t>96.1p, 근생용지, 도로변 위치 굿, 건축허가완료</t>
        </is>
      </c>
      <c r="L1364" s="6">
        <f>HYPERLINK("https://fin.land.naver.com/articles/2653681862",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1191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75000</v>
      </c>
      <c r="G1365" s="4" t="n">
        <v>360</v>
      </c>
      <c r="H1365" s="4" t="n">
        <v>109</v>
      </c>
      <c r="I1365" s="5" t="n">
        <v>688.1</v>
      </c>
      <c r="J1365" s="5" t="n">
        <v>349.4</v>
      </c>
      <c r="K1365" s="3" t="inlineStr">
        <is>
          <t>사거리 코너입지 최고, 조율도 가능</t>
        </is>
      </c>
      <c r="L1365" s="6">
        <f>HYPERLINK("https://fin.land.naver.com/articles/2654692792", "매물Link")</f>
        <v/>
      </c>
      <c r="M1365" s="6">
        <f>HYPERLINK("https://map.naver.com/p/search/아름동 1191", "지도Link")</f>
        <v/>
      </c>
      <c r="N1365" s="6">
        <f>HYPERLINK("http://www.eum.go.kr/web/ar/lu/luLandDet.jsp?pnu=3611011300111910000&amp;isNoScr=script&amp;mode=search",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360.6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1191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75000</v>
      </c>
      <c r="G1366" s="4" t="n">
        <v>360</v>
      </c>
      <c r="H1366" s="4" t="n">
        <v>109</v>
      </c>
      <c r="I1366" s="5" t="n">
        <v>688.1</v>
      </c>
      <c r="J1366" s="5" t="n">
        <v>349.4</v>
      </c>
      <c r="K1366" s="3" t="inlineStr">
        <is>
          <t>총 109.3p, 사거리코너자리, 충대병원 인접 토지</t>
        </is>
      </c>
      <c r="L1366" s="6">
        <f>HYPERLINK("https://fin.land.naver.com/articles/2654224772", "매물Link")</f>
        <v/>
      </c>
      <c r="M1366" s="6">
        <f>HYPERLINK("https://map.naver.com/p/search/아름동 1191", "지도Link")</f>
        <v/>
      </c>
      <c r="N1366" s="6">
        <f>HYPERLINK("http://www.eum.go.kr/web/ar/lu/luLandDet.jsp?pnu=3611011300111910000&amp;isNoScr=script&amp;mode=search",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360.6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급매 남향 코너각지 조율가능 옆필지 연접매매가능</t>
        </is>
      </c>
      <c r="L1367" s="6">
        <f>HYPERLINK("https://fin.land.naver.com/articles/2655177213",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1192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374</v>
      </c>
      <c r="H1368" s="4" t="n">
        <v>113</v>
      </c>
      <c r="I1368" s="5" t="n">
        <v>619.5</v>
      </c>
      <c r="J1368" s="5" t="n">
        <v>349.4</v>
      </c>
      <c r="K1368" s="3" t="inlineStr">
        <is>
          <t>4거리 코너땅,야산 인접 쾌적함</t>
        </is>
      </c>
      <c r="L1368" s="6">
        <f>HYPERLINK("https://fin.land.naver.com/articles/2654118594", "매물Link")</f>
        <v/>
      </c>
      <c r="M1368" s="6">
        <f>HYPERLINK("https://map.naver.com/p/search/아름동 1192", "지도Link")</f>
        <v/>
      </c>
      <c r="N1368" s="6">
        <f>HYPERLINK("http://www.eum.go.kr/web/ar/lu/luLandDet.jsp?pnu=3611011300111920000&amp;isNoScr=script&amp;mode=search", "토지이음")</f>
        <v/>
      </c>
      <c r="O1368" s="3" t="inlineStr">
        <is>
          <t>킹세종</t>
        </is>
      </c>
      <c r="P1368" s="4" t="n">
        <v>2</v>
      </c>
      <c r="Q1368" s="4" t="n">
        <v>374.8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68000</v>
      </c>
      <c r="G1369" s="4" t="n">
        <v>374</v>
      </c>
      <c r="H1369" s="4" t="n">
        <v>113</v>
      </c>
      <c r="I1369" s="5" t="n">
        <v>601.8</v>
      </c>
      <c r="J1369" s="5" t="n">
        <v>335.2</v>
      </c>
      <c r="K1369" s="3" t="inlineStr">
        <is>
          <t>충남대학병원 근접,양방향도로 접,아파트단지 주변 택지</t>
        </is>
      </c>
      <c r="L1369" s="6">
        <f>HYPERLINK("https://fin.land.naver.com/articles/2655637527", "매물Link")</f>
        <v/>
      </c>
      <c r="M1369" s="6">
        <f>HYPERLINK("https://map.naver.com/p/search/아름동 1193", "지도Link")</f>
        <v/>
      </c>
      <c r="N1369" s="6">
        <f>HYPERLINK("http://www.eum.go.kr/web/ar/lu/luLandDet.jsp?pnu=3611011300111930000&amp;isNoScr=script&amp;mode=search", "토지이음")</f>
        <v/>
      </c>
      <c r="O1369" s="3" t="inlineStr">
        <is>
          <t>해밀마을공간</t>
        </is>
      </c>
      <c r="P1369" s="4" t="n">
        <v>2</v>
      </c>
      <c r="Q1369" s="4" t="n">
        <v>374.7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1204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308</v>
      </c>
      <c r="H1370" s="4" t="n">
        <v>93</v>
      </c>
      <c r="I1370" s="5" t="n">
        <v>645.2</v>
      </c>
      <c r="J1370" s="5" t="n">
        <v>349.4</v>
      </c>
      <c r="K1370" s="3" t="inlineStr">
        <is>
          <t>코너,대단지인접,충남대병원도보5분,조율가능</t>
        </is>
      </c>
      <c r="L1370" s="6">
        <f>HYPERLINK("https://fin.land.naver.com/articles/2656309768", "매물Link")</f>
        <v/>
      </c>
      <c r="M1370" s="6">
        <f>HYPERLINK("https://map.naver.com/p/search/아름동 1204", "지도Link")</f>
        <v/>
      </c>
      <c r="N1370" s="6">
        <f>HYPERLINK("http://www.eum.go.kr/web/ar/lu/luLandDet.jsp?pnu=3611011300112040000&amp;isNoScr=script&amp;mode=search", "토지이음")</f>
        <v/>
      </c>
      <c r="O1370" s="3" t="inlineStr">
        <is>
          <t>똑똑</t>
        </is>
      </c>
      <c r="P1370" s="4" t="n">
        <v>2</v>
      </c>
      <c r="Q1370" s="4" t="n">
        <v>308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1219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67100</v>
      </c>
      <c r="G1371" s="4" t="n">
        <v>364</v>
      </c>
      <c r="H1371" s="4" t="n">
        <v>110</v>
      </c>
      <c r="I1371" s="5" t="n">
        <v>610</v>
      </c>
      <c r="J1371" s="5" t="n">
        <v>349.4</v>
      </c>
      <c r="K1371" s="3" t="inlineStr">
        <is>
          <t>조망이 아주 뛰어납니다.확 트인 시야</t>
        </is>
      </c>
      <c r="L1371" s="6">
        <f>HYPERLINK("https://fin.land.naver.com/articles/2652406933", "매물Link")</f>
        <v/>
      </c>
      <c r="M1371" s="6">
        <f>HYPERLINK("https://map.naver.com/p/search/아름동 1219", "지도Link")</f>
        <v/>
      </c>
      <c r="N1371" s="6">
        <f>HYPERLINK("http://www.eum.go.kr/web/ar/lu/luLandDet.jsp?pnu=3611011300112190000&amp;isNoScr=script&amp;mode=search", "토지이음")</f>
        <v/>
      </c>
      <c r="O1371" s="3" t="inlineStr">
        <is>
          <t>세종공주제일</t>
        </is>
      </c>
      <c r="P1371" s="4" t="n">
        <v>1</v>
      </c>
      <c r="Q1371" s="4" t="n">
        <v>364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소로각지</t>
        </is>
      </c>
    </row>
    <row r="1372">
      <c r="A1372" s="3" t="inlineStr">
        <is>
          <t>아름동 1219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68200</v>
      </c>
      <c r="G1372" s="4" t="n">
        <v>364</v>
      </c>
      <c r="H1372" s="4" t="n">
        <v>110</v>
      </c>
      <c r="I1372" s="5" t="n">
        <v>620</v>
      </c>
      <c r="J1372" s="5" t="n">
        <v>349.4</v>
      </c>
      <c r="K1372" s="3" t="inlineStr">
        <is>
          <t>뒤에는 산 앞에는 멋진 도시뷰,즉시 건축가능함</t>
        </is>
      </c>
      <c r="L1372" s="6">
        <f>HYPERLINK("https://fin.land.naver.com/articles/2653891417", "매물Link")</f>
        <v/>
      </c>
      <c r="M1372" s="6">
        <f>HYPERLINK("https://map.naver.com/p/search/아름동 1219", "지도Link")</f>
        <v/>
      </c>
      <c r="N1372" s="6">
        <f>HYPERLINK("http://www.eum.go.kr/web/ar/lu/luLandDet.jsp?pnu=3611011300112190000&amp;isNoScr=script&amp;mode=search", "토지이음")</f>
        <v/>
      </c>
      <c r="O1372" s="3" t="inlineStr">
        <is>
          <t>세종공주제일</t>
        </is>
      </c>
      <c r="P1372" s="4" t="n">
        <v>1</v>
      </c>
      <c r="Q1372" s="4" t="n">
        <v>364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1221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364</v>
      </c>
      <c r="H1373" s="4" t="n">
        <v>110</v>
      </c>
      <c r="I1373" s="5" t="n">
        <v>590.9</v>
      </c>
      <c r="J1373" s="5" t="n">
        <v>335.2</v>
      </c>
      <c r="K1373" s="3" t="inlineStr">
        <is>
          <t>nan</t>
        </is>
      </c>
      <c r="L1373" s="6">
        <f>HYPERLINK("https://fin.land.naver.com/articles/2651708627", "매물Link")</f>
        <v/>
      </c>
      <c r="M1373" s="6">
        <f>HYPERLINK("https://map.naver.com/p/search/아름동 1221", "지도Link")</f>
        <v/>
      </c>
      <c r="N1373" s="6">
        <f>HYPERLINK("http://www.eum.go.kr/web/ar/lu/luLandDet.jsp?pnu=3611011300112210000&amp;isNoScr=script&amp;mode=search", "토지이음")</f>
        <v/>
      </c>
      <c r="O1373" s="3" t="inlineStr">
        <is>
          <t>세종시삼성래미안</t>
        </is>
      </c>
      <c r="P1373" s="4" t="n">
        <v>1</v>
      </c>
      <c r="Q1373" s="4" t="n">
        <v>364.4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1231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60000</v>
      </c>
      <c r="G1374" s="4" t="n">
        <v>365</v>
      </c>
      <c r="H1374" s="4" t="n">
        <v>110</v>
      </c>
      <c r="I1374" s="5" t="n">
        <v>545.5</v>
      </c>
      <c r="J1374" s="5" t="n">
        <v>343.1</v>
      </c>
      <c r="K1374" s="3" t="inlineStr">
        <is>
          <t>아름동 학교 가까운 주택지</t>
        </is>
      </c>
      <c r="L1374" s="6">
        <f>HYPERLINK("https://fin.land.naver.com/articles/2653003576", "매물Link")</f>
        <v/>
      </c>
      <c r="M1374" s="6">
        <f>HYPERLINK("https://map.naver.com/p/search/아름동 1231", "지도Link")</f>
        <v/>
      </c>
      <c r="N1374" s="6">
        <f>HYPERLINK("http://www.eum.go.kr/web/ar/lu/luLandDet.jsp?pnu=3611011300112310000&amp;isNoScr=script&amp;mode=search", "토지이음")</f>
        <v/>
      </c>
      <c r="O1374" s="3" t="inlineStr">
        <is>
          <t>OK세종 사무소</t>
        </is>
      </c>
      <c r="P1374" s="4" t="n">
        <v>1</v>
      </c>
      <c r="Q1374" s="4" t="n">
        <v>365.4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아름동 1231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365</v>
      </c>
      <c r="H1375" s="4" t="n">
        <v>110</v>
      </c>
      <c r="I1375" s="5" t="n">
        <v>545.5</v>
      </c>
      <c r="J1375" s="5" t="n">
        <v>343.1</v>
      </c>
      <c r="K1375" s="3" t="inlineStr">
        <is>
          <t>급매, 110.7p, 아름초인접, 범지기10단지인근</t>
        </is>
      </c>
      <c r="L1375" s="6">
        <f>HYPERLINK("https://fin.land.naver.com/articles/2654927262", "매물Link")</f>
        <v/>
      </c>
      <c r="M1375" s="6">
        <f>HYPERLINK("https://map.naver.com/p/search/아름동 1231", "지도Link")</f>
        <v/>
      </c>
      <c r="N1375" s="6">
        <f>HYPERLINK("http://www.eum.go.kr/web/ar/lu/luLandDet.jsp?pnu=3611011300112310000&amp;isNoScr=script&amp;mode=search",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365.4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급매 아름동학원가, 상권이용편리로얄택지, 금액조율가능, 추천매매</t>
        </is>
      </c>
      <c r="L1376" s="6">
        <f>HYPERLINK("https://fin.land.naver.com/articles/2653093272",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한방</t>
        </is>
      </c>
      <c r="P1376" s="4" t="n">
        <v>1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총 110.7p, 아파트 단지 옆, 아름초 인근, 위치좋고 가격좋은 토지</t>
        </is>
      </c>
      <c r="L1377" s="6">
        <f>HYPERLINK("https://fin.land.naver.com/articles/2652842649",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세종무지개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급매 추가조율가능 귀한큰평형 아름초도보3분 학원가도보5분 충대병원10분</t>
        </is>
      </c>
      <c r="L1378" s="6">
        <f>HYPERLINK("https://fin.land.naver.com/articles/2655176796",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1256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70000</v>
      </c>
      <c r="G1379" s="4" t="n">
        <v>353</v>
      </c>
      <c r="H1379" s="4" t="n">
        <v>107</v>
      </c>
      <c r="I1379" s="5" t="n">
        <v>654.2</v>
      </c>
      <c r="J1379" s="5" t="n">
        <v>343.1</v>
      </c>
      <c r="K1379" s="3" t="inlineStr">
        <is>
          <t>초등학교인접, 대단지 맞은편 아름동 단독주택</t>
        </is>
      </c>
      <c r="L1379" s="6">
        <f>HYPERLINK("https://fin.land.naver.com/articles/2656267245", "매물Link")</f>
        <v/>
      </c>
      <c r="M1379" s="6">
        <f>HYPERLINK("https://map.naver.com/p/search/아름동 1256", "지도Link")</f>
        <v/>
      </c>
      <c r="N1379" s="6">
        <f>HYPERLINK("http://www.eum.go.kr/web/ar/lu/luLandDet.jsp?pnu=3611011300112560000&amp;isNoScr=script&amp;mode=search",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354.3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1256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70000</v>
      </c>
      <c r="G1380" s="4" t="n">
        <v>354</v>
      </c>
      <c r="H1380" s="4" t="n">
        <v>107</v>
      </c>
      <c r="I1380" s="5" t="n">
        <v>654.2</v>
      </c>
      <c r="J1380" s="5" t="n">
        <v>343.1</v>
      </c>
      <c r="K1380" s="3" t="inlineStr">
        <is>
          <t>총 107.4p, 아름초인근, 위치좋은 단독주택지 추천</t>
        </is>
      </c>
      <c r="L1380" s="6">
        <f>HYPERLINK("https://fin.land.naver.com/articles/2651902228", "매물Link")</f>
        <v/>
      </c>
      <c r="M1380" s="6">
        <f>HYPERLINK("https://map.naver.com/p/search/아름동 1256", "지도Link")</f>
        <v/>
      </c>
      <c r="N1380" s="6">
        <f>HYPERLINK("http://www.eum.go.kr/web/ar/lu/luLandDet.jsp?pnu=3611011300112560000&amp;isNoScr=script&amp;mode=search",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354.3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1365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52000</v>
      </c>
      <c r="G1381" s="4" t="n">
        <v>342</v>
      </c>
      <c r="H1381" s="4" t="n">
        <v>103</v>
      </c>
      <c r="I1381" s="5" t="n">
        <v>504.9</v>
      </c>
      <c r="J1381" s="5" t="n">
        <v>380.5</v>
      </c>
      <c r="K1381" s="3" t="inlineStr">
        <is>
          <t>총 103.7p, 아름동 삼거리 코너, 아파트 단지 근처</t>
        </is>
      </c>
      <c r="L1381" s="6">
        <f>HYPERLINK("https://fin.land.naver.com/articles/2652842249", "매물Link")</f>
        <v/>
      </c>
      <c r="M1381" s="6">
        <f>HYPERLINK("https://map.naver.com/p/search/아름동 1365", "지도Link")</f>
        <v/>
      </c>
      <c r="N1381" s="6">
        <f>HYPERLINK("http://www.eum.go.kr/web/ar/lu/luLandDet.jsp?pnu=3611011300113650000&amp;isNoScr=script&amp;mode=search",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342.1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아름동 1365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342</v>
      </c>
      <c r="H1382" s="4" t="n">
        <v>103</v>
      </c>
      <c r="I1382" s="5" t="n">
        <v>504.9</v>
      </c>
      <c r="J1382" s="5" t="n">
        <v>380.5</v>
      </c>
      <c r="K1382" s="3" t="inlineStr">
        <is>
          <t>103.7p, 삼거리 코너자리, 왼쪽 토지 활용도 높은 좋은 위치</t>
        </is>
      </c>
      <c r="L1382" s="6">
        <f>HYPERLINK("https://fin.land.naver.com/articles/2654920262", "매물Link")</f>
        <v/>
      </c>
      <c r="M1382" s="6">
        <f>HYPERLINK("https://map.naver.com/p/search/아름동 1365", "지도Link")</f>
        <v/>
      </c>
      <c r="N1382" s="6">
        <f>HYPERLINK("http://www.eum.go.kr/web/ar/lu/luLandDet.jsp?pnu=3611011300113650000&amp;isNoScr=script&amp;mode=search",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342.1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중로각지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nan</t>
        </is>
      </c>
      <c r="L1383" s="6">
        <f>HYPERLINK("https://fin.land.naver.com/articles/2656325636",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킹세종</t>
        </is>
      </c>
      <c r="P1383" s="4" t="n">
        <v>5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1370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365</v>
      </c>
      <c r="H1384" s="4" t="n">
        <v>110</v>
      </c>
      <c r="I1384" s="5" t="n">
        <v>545.5</v>
      </c>
      <c r="J1384" s="5" t="n">
        <v>338.2</v>
      </c>
      <c r="K1384" s="3" t="inlineStr">
        <is>
          <t>4단지 맞은편, 단독주택 토지 매매</t>
        </is>
      </c>
      <c r="L1384" s="6">
        <f>HYPERLINK("https://fin.land.naver.com/articles/2655854582", "매물Link")</f>
        <v/>
      </c>
      <c r="M1384" s="6">
        <f>HYPERLINK("https://map.naver.com/p/search/아름동 1370", "지도Link")</f>
        <v/>
      </c>
      <c r="N1384" s="6">
        <f>HYPERLINK("http://www.eum.go.kr/web/ar/lu/luLandDet.jsp?pnu=3611011300113700000&amp;isNoScr=script&amp;mode=search",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1370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363</v>
      </c>
      <c r="H1385" s="4" t="n">
        <v>110</v>
      </c>
      <c r="I1385" s="5" t="n">
        <v>545.5</v>
      </c>
      <c r="J1385" s="5" t="n">
        <v>338.2</v>
      </c>
      <c r="K1385" s="3" t="inlineStr">
        <is>
          <t>아름동 단독주택 토지매매, 위치 좋은 자리</t>
        </is>
      </c>
      <c r="L1385" s="6">
        <f>HYPERLINK("https://fin.land.naver.com/articles/2655487443", "매물Link")</f>
        <v/>
      </c>
      <c r="M1385" s="6">
        <f>HYPERLINK("https://map.naver.com/p/search/아름동 1370", "지도Link")</f>
        <v/>
      </c>
      <c r="N1385" s="6">
        <f>HYPERLINK("http://www.eum.go.kr/web/ar/lu/luLandDet.jsp?pnu=3611011300113700000&amp;isNoScr=script&amp;mode=search",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365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1380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45000</v>
      </c>
      <c r="G1386" s="4" t="n">
        <v>300</v>
      </c>
      <c r="H1386" s="4" t="n">
        <v>91</v>
      </c>
      <c r="I1386" s="5" t="n">
        <v>494.5</v>
      </c>
      <c r="J1386" s="5" t="n">
        <v>352.4</v>
      </c>
      <c r="K1386" s="3" t="inlineStr">
        <is>
          <t>정남향 코너 택지｜근린공원 인접, 아름동 상권 편리함 우수</t>
        </is>
      </c>
      <c r="L1386" s="6">
        <f>HYPERLINK("https://fin.land.naver.com/articles/2655863024", "매물Link")</f>
        <v/>
      </c>
      <c r="M1386" s="6">
        <f>HYPERLINK("https://map.naver.com/p/search/아름동 1380", "지도Link")</f>
        <v/>
      </c>
      <c r="N1386" s="6">
        <f>HYPERLINK("http://www.eum.go.kr/web/ar/lu/luLandDet.jsp?pnu=3611011300113800000&amp;isNoScr=script&amp;mode=search", "토지이음")</f>
        <v/>
      </c>
      <c r="O1386" s="3" t="inlineStr">
        <is>
          <t>세종신한</t>
        </is>
      </c>
      <c r="P1386" s="4" t="n">
        <v>1</v>
      </c>
      <c r="Q1386" s="4" t="n">
        <v>300.2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소로각지</t>
        </is>
      </c>
    </row>
    <row r="1387">
      <c r="A1387" s="3" t="inlineStr">
        <is>
          <t>아름동 1380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45000</v>
      </c>
      <c r="G1387" s="4" t="n">
        <v>300</v>
      </c>
      <c r="H1387" s="4" t="n">
        <v>91</v>
      </c>
      <c r="I1387" s="5" t="n">
        <v>494.5</v>
      </c>
      <c r="J1387" s="5" t="n">
        <v>352.4</v>
      </c>
      <c r="K1387" s="3" t="inlineStr">
        <is>
          <t>급매 아름동학원가, 상권이용편리로얄택지, 금액조율가능, 추천매매</t>
        </is>
      </c>
      <c r="L1387" s="6">
        <f>HYPERLINK("https://fin.land.naver.com/articles/2656339055", "매물Link")</f>
        <v/>
      </c>
      <c r="M1387" s="6">
        <f>HYPERLINK("https://map.naver.com/p/search/아름동 1380", "지도Link")</f>
        <v/>
      </c>
      <c r="N1387" s="6">
        <f>HYPERLINK("http://www.eum.go.kr/web/ar/lu/luLandDet.jsp?pnu=3611011300113800000&amp;isNoScr=script&amp;mode=search", "토지이음")</f>
        <v/>
      </c>
      <c r="O1387" s="3" t="inlineStr">
        <is>
          <t>한방</t>
        </is>
      </c>
      <c r="P1387" s="4" t="n">
        <v>1</v>
      </c>
      <c r="Q1387" s="4" t="n">
        <v>300.2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아름동 주택지 저렴한 가격 급매, 코너각지, 위치좋음</t>
        </is>
      </c>
      <c r="L1388" s="6">
        <f>HYPERLINK("https://fin.land.naver.com/articles/2653003304",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OK세종 사무소</t>
        </is>
      </c>
      <c r="P1388" s="4" t="n">
        <v>2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급매, 총 91p, 삼거리코너, 아파트 단지 밑</t>
        </is>
      </c>
      <c r="L1389" s="6">
        <f>HYPERLINK("https://fin.land.naver.com/articles/2652838634",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예쁘게 단독주택을 지을수 있는 대지</t>
        </is>
      </c>
      <c r="L1390" s="6">
        <f>HYPERLINK("https://fin.land.naver.com/articles/2656447698",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대한</t>
        </is>
      </c>
      <c r="P1390" s="4" t="n">
        <v>13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D8중 최저가.네고 가능.초,중,고 가깝고,마트.교통까지 편리</t>
        </is>
      </c>
      <c r="L1391" s="6">
        <f>HYPERLINK("https://fin.land.naver.com/articles/2656130718",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수자인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학교, 편의시설, 정부청사 가까워 생활편리, 보행도로접 코너각지</t>
        </is>
      </c>
      <c r="L1392" s="6">
        <f>HYPERLINK("https://fin.land.naver.com/articles/2655652433",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온뜰</t>
        </is>
      </c>
      <c r="P1392" s="4" t="n">
        <v>1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총 91p, 삼거리 코너, 단지 인접, 급매</t>
        </is>
      </c>
      <c r="L1393" s="6">
        <f>HYPERLINK("https://fin.land.naver.com/articles/2654223009",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1390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65000</v>
      </c>
      <c r="G1394" s="4" t="n">
        <v>304</v>
      </c>
      <c r="H1394" s="4" t="n">
        <v>92</v>
      </c>
      <c r="I1394" s="5" t="n">
        <v>706.5</v>
      </c>
      <c r="J1394" s="5" t="n">
        <v>338.2</v>
      </c>
      <c r="K1394" s="3" t="inlineStr">
        <is>
          <t>nan</t>
        </is>
      </c>
      <c r="L1394" s="6">
        <f>HYPERLINK("https://fin.land.naver.com/articles/2655009804", "매물Link")</f>
        <v/>
      </c>
      <c r="M1394" s="6">
        <f>HYPERLINK("https://map.naver.com/p/search/아름동 1390", "지도Link")</f>
        <v/>
      </c>
      <c r="N1394" s="6">
        <f>HYPERLINK("http://www.eum.go.kr/web/ar/lu/luLandDet.jsp?pnu=3611011300113900000&amp;isNoScr=script&amp;mode=search", "토지이음")</f>
        <v/>
      </c>
      <c r="O1394" s="3" t="inlineStr">
        <is>
          <t>디아트성심</t>
        </is>
      </c>
      <c r="P1394" s="4" t="n">
        <v>1</v>
      </c>
      <c r="Q1394" s="4" t="n">
        <v>304.2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아름동 1392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304</v>
      </c>
      <c r="H1395" s="4" t="n">
        <v>92</v>
      </c>
      <c r="I1395" s="5" t="n">
        <v>652.2</v>
      </c>
      <c r="J1395" s="5" t="n">
        <v>352.4</v>
      </c>
      <c r="K1395" s="3" t="inlineStr">
        <is>
          <t>코너 지대높음 상권가까움</t>
        </is>
      </c>
      <c r="L1395" s="6">
        <f>HYPERLINK("https://fin.land.naver.com/articles/2656073735", "매물Link")</f>
        <v/>
      </c>
      <c r="M1395" s="6">
        <f>HYPERLINK("https://map.naver.com/p/search/아름동 1392", "지도Link")</f>
        <v/>
      </c>
      <c r="N1395" s="6">
        <f>HYPERLINK("http://www.eum.go.kr/web/ar/lu/luLandDet.jsp?pnu=3611011300113920000&amp;isNoScr=script&amp;mode=search",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304.3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소로각지</t>
        </is>
      </c>
    </row>
    <row r="1396">
      <c r="A1396" s="3" t="inlineStr">
        <is>
          <t>아름동 1407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59000</v>
      </c>
      <c r="G1396" s="4" t="n">
        <v>303</v>
      </c>
      <c r="H1396" s="4" t="n">
        <v>92</v>
      </c>
      <c r="I1396" s="5" t="n">
        <v>641.3</v>
      </c>
      <c r="J1396" s="5" t="n">
        <v>338.2</v>
      </c>
      <c r="K1396" s="3" t="inlineStr">
        <is>
          <t>D8저렴 택지.남향.네모 반듯한 택지로 생활 편리</t>
        </is>
      </c>
      <c r="L1396" s="6">
        <f>HYPERLINK("https://fin.land.naver.com/articles/2656021689", "매물Link")</f>
        <v/>
      </c>
      <c r="M1396" s="6">
        <f>HYPERLINK("https://map.naver.com/p/search/아름동 1407", "지도Link")</f>
        <v/>
      </c>
      <c r="N1396" s="6">
        <f>HYPERLINK("http://www.eum.go.kr/web/ar/lu/luLandDet.jsp?pnu=3611011300114070000&amp;isNoScr=script&amp;mode=search", "토지이음")</f>
        <v/>
      </c>
      <c r="O1396" s="3" t="inlineStr">
        <is>
          <t>수자인</t>
        </is>
      </c>
      <c r="P1396" s="4" t="n">
        <v>1</v>
      </c>
      <c r="Q1396" s="4" t="n">
        <v>303.7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1418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55000</v>
      </c>
      <c r="G1397" s="4" t="n">
        <v>303</v>
      </c>
      <c r="H1397" s="4" t="n">
        <v>92</v>
      </c>
      <c r="I1397" s="5" t="n">
        <v>597.8</v>
      </c>
      <c r="J1397" s="5" t="n">
        <v>352.4</v>
      </c>
      <c r="K1397" s="3" t="inlineStr">
        <is>
          <t>92.1p, 초급매, 가격조율가능, 코너최고자리</t>
        </is>
      </c>
      <c r="L1397" s="6">
        <f>HYPERLINK("https://fin.land.naver.com/articles/2654924787", "매물Link")</f>
        <v/>
      </c>
      <c r="M1397" s="6">
        <f>HYPERLINK("https://map.naver.com/p/search/아름동 1418", "지도Link")</f>
        <v/>
      </c>
      <c r="N1397" s="6">
        <f>HYPERLINK("http://www.eum.go.kr/web/ar/lu/luLandDet.jsp?pnu=3611011300114180000&amp;isNoScr=script&amp;mode=search",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303.9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코너각지 홈플러스인근 아름동학원가 인접 조율가능</t>
        </is>
      </c>
      <c r="L1398" s="6">
        <f>HYPERLINK("https://fin.land.naver.com/articles/2655177594",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세종스타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1420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303</v>
      </c>
      <c r="H1399" s="4" t="n">
        <v>92</v>
      </c>
      <c r="I1399" s="5" t="n">
        <v>760.9</v>
      </c>
      <c r="J1399" s="5" t="n">
        <v>338.2</v>
      </c>
      <c r="K1399" s="3" t="inlineStr">
        <is>
          <t>92.1p, 단지 바로 옆, 아름동 단독주택지</t>
        </is>
      </c>
      <c r="L1399" s="6">
        <f>HYPERLINK("https://fin.land.naver.com/articles/2654703335", "매물Link")</f>
        <v/>
      </c>
      <c r="M1399" s="6">
        <f>HYPERLINK("https://map.naver.com/p/search/아름동 1420", "지도Link")</f>
        <v/>
      </c>
      <c r="N1399" s="6">
        <f>HYPERLINK("http://www.eum.go.kr/web/ar/lu/luLandDet.jsp?pnu=3611011300114200000&amp;isNoScr=script&amp;mode=search",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아름동 1443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65000</v>
      </c>
      <c r="G1400" s="4" t="n">
        <v>344</v>
      </c>
      <c r="H1400" s="4" t="n">
        <v>104</v>
      </c>
      <c r="I1400" s="5" t="n">
        <v>625</v>
      </c>
      <c r="J1400" s="5" t="n">
        <v>338.2</v>
      </c>
      <c r="K1400" s="3" t="inlineStr">
        <is>
          <t>접근성 좋은 아름동 택지</t>
        </is>
      </c>
      <c r="L1400" s="6">
        <f>HYPERLINK("https://fin.land.naver.com/articles/2652794578", "매물Link")</f>
        <v/>
      </c>
      <c r="M1400" s="6">
        <f>HYPERLINK("https://map.naver.com/p/search/아름동 1443", "지도Link")</f>
        <v/>
      </c>
      <c r="N1400" s="6">
        <f>HYPERLINK("http://www.eum.go.kr/web/ar/lu/luLandDet.jsp?pnu=3611011300114430000&amp;isNoScr=script&amp;mode=search",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344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단독주택지.대지</t>
        </is>
      </c>
      <c r="L1401" s="6">
        <f>HYPERLINK("https://fin.land.naver.com/articles/2651582608",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세종몽땅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1452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55000</v>
      </c>
      <c r="G1402" s="4" t="n">
        <v>319</v>
      </c>
      <c r="H1402" s="4" t="n">
        <v>96</v>
      </c>
      <c r="I1402" s="5" t="n">
        <v>572.9</v>
      </c>
      <c r="J1402" s="5" t="n">
        <v>334.5</v>
      </c>
      <c r="K1402" s="3" t="inlineStr">
        <is>
          <t>총 96.7p, 12단지 맞은편 위치좋은 단독주택지</t>
        </is>
      </c>
      <c r="L1402" s="6">
        <f>HYPERLINK("https://fin.land.naver.com/articles/2651908937", "매물Link")</f>
        <v/>
      </c>
      <c r="M1402" s="6">
        <f>HYPERLINK("https://map.naver.com/p/search/아름동 1452", "지도Link")</f>
        <v/>
      </c>
      <c r="N1402" s="6">
        <f>HYPERLINK("http://www.eum.go.kr/web/ar/lu/luLandDet.jsp?pnu=3611011300114520000&amp;isNoScr=script&amp;mode=search",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319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96.7p, 단지 맞은편, 사거리 코너자리</t>
        </is>
      </c>
      <c r="L1403" s="6">
        <f>HYPERLINK("https://fin.land.naver.com/articles/2653565169",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세종무지개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815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120000</v>
      </c>
      <c r="G1404" s="4" t="n">
        <v>500</v>
      </c>
      <c r="H1404" s="4" t="n">
        <v>151</v>
      </c>
      <c r="I1404" s="5" t="n">
        <v>794.7</v>
      </c>
      <c r="J1404" s="5" t="n">
        <v>172.1</v>
      </c>
      <c r="K1404" s="3" t="inlineStr">
        <is>
          <t>데이터센터, 방송국 사옥부지, 조율가능, 정보통신업 추천</t>
        </is>
      </c>
      <c r="L1404" s="6">
        <f>HYPERLINK("https://fin.land.naver.com/articles/2653569005", "매물Link")</f>
        <v/>
      </c>
      <c r="M1404" s="6">
        <f>HYPERLINK("https://map.naver.com/p/search/아름동 815", "지도Link")</f>
        <v/>
      </c>
      <c r="N1404" s="6">
        <f>HYPERLINK("http://www.eum.go.kr/web/ar/lu/luLandDet.jsp?pnu=3611011300108150000&amp;isNoScr=script&amp;mode=search",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500</v>
      </c>
      <c r="R1404" s="3" t="inlineStr">
        <is>
          <t>지정되지않음</t>
        </is>
      </c>
      <c r="S1404" s="3" t="inlineStr">
        <is>
          <t>도로등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지정되지않음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조율가능 도심 데이터센터 사옥 방송국 통신사 데이터센터 출판사 프로그래밍</t>
        </is>
      </c>
      <c r="L1405" s="6">
        <f>HYPERLINK("https://fin.land.naver.com/articles/2655253827",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151.5p, 데이터센터, 방송관련 사옥 추천, 조율가능, 입지좋은 토지</t>
        </is>
      </c>
      <c r="L1406" s="6">
        <f>HYPERLINK("https://fin.land.naver.com/articles/2654888844",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명진</t>
        </is>
      </c>
      <c r="P1406" s="4" t="n">
        <v>1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826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65000</v>
      </c>
      <c r="G1407" s="4" t="n">
        <v>305</v>
      </c>
      <c r="H1407" s="4" t="n">
        <v>92</v>
      </c>
      <c r="I1407" s="5" t="n">
        <v>706.5</v>
      </c>
      <c r="J1407" s="5" t="n">
        <v>339.5</v>
      </c>
      <c r="K1407" s="3" t="inlineStr">
        <is>
          <t>조율가능 국제고인근 시유지접함 언덕택지</t>
        </is>
      </c>
      <c r="L1407" s="6">
        <f>HYPERLINK("https://fin.land.naver.com/articles/2655021697", "매물Link")</f>
        <v/>
      </c>
      <c r="M1407" s="6">
        <f>HYPERLINK("https://map.naver.com/p/search/아름동 826", "지도Link")</f>
        <v/>
      </c>
      <c r="N1407" s="6">
        <f>HYPERLINK("http://www.eum.go.kr/web/ar/lu/luLandDet.jsp?pnu=3611011300108260000&amp;isNoScr=script&amp;mode=search", "토지이음")</f>
        <v/>
      </c>
      <c r="O1407" s="3" t="inlineStr">
        <is>
          <t>세종스타</t>
        </is>
      </c>
      <c r="P1407" s="4" t="n">
        <v>1</v>
      </c>
      <c r="Q1407" s="4" t="n">
        <v>305.5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소로한면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국제고 인근, 충대병원 가까운 아름동 단독주택 토지매매</t>
        </is>
      </c>
      <c r="L1408" s="6">
        <f>HYPERLINK("https://fin.land.naver.com/articles/2652839214",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세종무지개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아름동 국제고 인근, 입지좋은 단독주택 토지매매</t>
        </is>
      </c>
      <c r="L1409" s="6">
        <f>HYPERLINK("https://fin.land.naver.com/articles/2654227049",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명진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863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80000</v>
      </c>
      <c r="G1410" s="4" t="n">
        <v>316</v>
      </c>
      <c r="H1410" s="4" t="n">
        <v>96</v>
      </c>
      <c r="I1410" s="5" t="n">
        <v>833.3</v>
      </c>
      <c r="J1410" s="5" t="n">
        <v>339.8</v>
      </c>
      <c r="K1410" s="3" t="inlineStr">
        <is>
          <t>금액협의,국제고,영재고 주변 조용하고 위치좋은 단독택지</t>
        </is>
      </c>
      <c r="L1410" s="6">
        <f>HYPERLINK("https://fin.land.naver.com/articles/2655847664", "매물Link")</f>
        <v/>
      </c>
      <c r="M1410" s="6">
        <f>HYPERLINK("https://map.naver.com/p/search/아름동 863", "지도Link")</f>
        <v/>
      </c>
      <c r="N1410" s="6">
        <f>HYPERLINK("http://www.eum.go.kr/web/ar/lu/luLandDet.jsp?pnu=3611011300108630000&amp;isNoScr=script&amp;mode=search", "토지이음")</f>
        <v/>
      </c>
      <c r="O1410" s="3" t="inlineStr">
        <is>
          <t>세종나라</t>
        </is>
      </c>
      <c r="P1410" s="4" t="n">
        <v>2</v>
      </c>
      <c r="Q1410" s="4" t="n">
        <v>316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874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70000</v>
      </c>
      <c r="G1411" s="4" t="n">
        <v>340</v>
      </c>
      <c r="H1411" s="4" t="n">
        <v>103</v>
      </c>
      <c r="I1411" s="5" t="n">
        <v>679.6</v>
      </c>
      <c r="J1411" s="5" t="n">
        <v>339.5</v>
      </c>
      <c r="K1411" s="3" t="inlineStr">
        <is>
          <t>103p, 충대병원인근, 아름동 입지좋은 토지</t>
        </is>
      </c>
      <c r="L1411" s="6">
        <f>HYPERLINK("https://fin.land.naver.com/articles/2654694214", "매물Link")</f>
        <v/>
      </c>
      <c r="M1411" s="6">
        <f>HYPERLINK("https://map.naver.com/p/search/아름동 874", "지도Link")</f>
        <v/>
      </c>
      <c r="N1411" s="6">
        <f>HYPERLINK("http://www.eum.go.kr/web/ar/lu/luLandDet.jsp?pnu=3611011300108740000&amp;isNoScr=script&amp;mode=search", "토지이음")</f>
        <v/>
      </c>
      <c r="O1411" s="3" t="inlineStr">
        <is>
          <t>세종무지개</t>
        </is>
      </c>
      <c r="P1411" s="4" t="n">
        <v>1</v>
      </c>
      <c r="Q1411" s="4" t="n">
        <v>340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소로한면</t>
        </is>
      </c>
    </row>
    <row r="1412">
      <c r="A1412" s="3" t="inlineStr">
        <is>
          <t>아름동 879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59000</v>
      </c>
      <c r="G1412" s="4" t="n">
        <v>321</v>
      </c>
      <c r="H1412" s="4" t="n">
        <v>97</v>
      </c>
      <c r="I1412" s="5" t="n">
        <v>608.2</v>
      </c>
      <c r="J1412" s="5" t="n">
        <v>339.8</v>
      </c>
      <c r="K1412" s="3" t="inlineStr">
        <is>
          <t>급매 뒤로 넓은 공원낀위치 우측 연결녹지 넓어 쾌적한곳</t>
        </is>
      </c>
      <c r="L1412" s="6">
        <f>HYPERLINK("https://fin.land.naver.com/articles/2652418910", "매물Link")</f>
        <v/>
      </c>
      <c r="M1412" s="6">
        <f>HYPERLINK("https://map.naver.com/p/search/아름동 879", "지도Link")</f>
        <v/>
      </c>
      <c r="N1412" s="6">
        <f>HYPERLINK("http://www.eum.go.kr/web/ar/lu/luLandDet.jsp?pnu=3611011300108790000&amp;isNoScr=script&amp;mode=search",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321.9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,아름동 최상 택지,충남대병원 인접 생활권 편리,어린이공원접</t>
        </is>
      </c>
      <c r="L1413" s="6">
        <f>HYPERLINK("https://fin.land.naver.com/articles/2650851626",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고운맘</t>
        </is>
      </c>
      <c r="P1413" s="4" t="n">
        <v>1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881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74000</v>
      </c>
      <c r="G1414" s="4" t="n">
        <v>326</v>
      </c>
      <c r="H1414" s="4" t="n">
        <v>99</v>
      </c>
      <c r="I1414" s="5" t="n">
        <v>747.5</v>
      </c>
      <c r="J1414" s="5" t="n">
        <v>339.8</v>
      </c>
      <c r="K1414" s="3" t="inlineStr">
        <is>
          <t>입출입이 편리한 단독주택지입니다.</t>
        </is>
      </c>
      <c r="L1414" s="6">
        <f>HYPERLINK("https://fin.land.naver.com/articles/2652479836", "매물Link")</f>
        <v/>
      </c>
      <c r="M1414" s="6">
        <f>HYPERLINK("https://map.naver.com/p/search/아름동 881", "지도Link")</f>
        <v/>
      </c>
      <c r="N1414" s="6">
        <f>HYPERLINK("http://www.eum.go.kr/web/ar/lu/luLandDet.jsp?pnu=3611011300108810000&amp;isNoScr=script&amp;mode=search", "토지이음")</f>
        <v/>
      </c>
      <c r="O1414" s="3" t="inlineStr">
        <is>
          <t>아름</t>
        </is>
      </c>
      <c r="P1414" s="4" t="n">
        <v>1</v>
      </c>
      <c r="Q1414" s="4" t="n">
        <v>326.2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900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338</v>
      </c>
      <c r="H1415" s="4" t="n">
        <v>102</v>
      </c>
      <c r="I1415" s="5" t="n">
        <v>686.3</v>
      </c>
      <c r="J1415" s="5" t="n">
        <v>344.5</v>
      </c>
      <c r="K1415" s="3" t="inlineStr">
        <is>
          <t>nan</t>
        </is>
      </c>
      <c r="L1415" s="6">
        <f>HYPERLINK("https://fin.land.naver.com/articles/2655009959", "매물Link")</f>
        <v/>
      </c>
      <c r="M1415" s="6">
        <f>HYPERLINK("https://map.naver.com/p/search/아름동 900", "지도Link")</f>
        <v/>
      </c>
      <c r="N1415" s="6">
        <f>HYPERLINK("http://www.eum.go.kr/web/ar/lu/luLandDet.jsp?pnu=3611011300109000000&amp;isNoScr=script&amp;mode=search", "토지이음")</f>
        <v/>
      </c>
      <c r="O1415" s="3" t="inlineStr">
        <is>
          <t>디아트성심</t>
        </is>
      </c>
      <c r="P1415" s="4" t="n">
        <v>1</v>
      </c>
      <c r="Q1415" s="4" t="n">
        <v>338.4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소로각지</t>
        </is>
      </c>
    </row>
    <row r="1416">
      <c r="A1416" s="3" t="inlineStr">
        <is>
          <t>아름동 914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80000</v>
      </c>
      <c r="G1416" s="4" t="n">
        <v>318</v>
      </c>
      <c r="H1416" s="4" t="n">
        <v>96</v>
      </c>
      <c r="I1416" s="5" t="n">
        <v>833.3</v>
      </c>
      <c r="J1416" s="5" t="n">
        <v>330.6</v>
      </c>
      <c r="K1416" s="3" t="inlineStr">
        <is>
          <t>네모 반듯한 예쁜 토지.국제고,영재고 인근.햇볕 잘 드는 최고의 토지.</t>
        </is>
      </c>
      <c r="L1416" s="6">
        <f>HYPERLINK("https://fin.land.naver.com/articles/2656130955", "매물Link")</f>
        <v/>
      </c>
      <c r="M1416" s="6">
        <f>HYPERLINK("https://map.naver.com/p/search/아름동 914", "지도Link")</f>
        <v/>
      </c>
      <c r="N1416" s="6">
        <f>HYPERLINK("http://www.eum.go.kr/web/ar/lu/luLandDet.jsp?pnu=3611011300109140000&amp;isNoScr=script&amp;mode=search", "토지이음")</f>
        <v/>
      </c>
      <c r="O1416" s="3" t="inlineStr">
        <is>
          <t>수자인</t>
        </is>
      </c>
      <c r="P1416" s="4" t="n">
        <v>1</v>
      </c>
      <c r="Q1416" s="4" t="n">
        <v>318.7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925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82000</v>
      </c>
      <c r="G1417" s="4" t="n">
        <v>298</v>
      </c>
      <c r="H1417" s="4" t="n">
        <v>90</v>
      </c>
      <c r="I1417" s="5" t="n">
        <v>911.1</v>
      </c>
      <c r="J1417" s="5" t="n">
        <v>339.8</v>
      </c>
      <c r="K1417" s="3" t="inlineStr">
        <is>
          <t>90.6p, 국제고 인근, 공원인접, 조율가능</t>
        </is>
      </c>
      <c r="L1417" s="6">
        <f>HYPERLINK("https://fin.land.naver.com/articles/2656265222", "매물Link")</f>
        <v/>
      </c>
      <c r="M1417" s="6">
        <f>HYPERLINK("https://map.naver.com/p/search/아름동 925", "지도Link")</f>
        <v/>
      </c>
      <c r="N1417" s="6">
        <f>HYPERLINK("http://www.eum.go.kr/web/ar/lu/luLandDet.jsp?pnu=3611011300109250000&amp;isNoScr=script&amp;mode=search",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298.9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90.6p, 아름동 국제고 인근 위치 좋은 토지 매매</t>
        </is>
      </c>
      <c r="L1418" s="6">
        <f>HYPERLINK("https://fin.land.naver.com/articles/2651940283",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국제고인근 위치좋은 코너각지, 공원인접,보행로연결</t>
        </is>
      </c>
      <c r="L1419" s="6">
        <f>HYPERLINK("https://fin.land.naver.com/articles/2656328684",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똑똑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63000</v>
      </c>
      <c r="G1420" s="4" t="n">
        <v>299</v>
      </c>
      <c r="H1420" s="4" t="n">
        <v>90</v>
      </c>
      <c r="I1420" s="5" t="n">
        <v>700</v>
      </c>
      <c r="J1420" s="5" t="n">
        <v>339.8</v>
      </c>
      <c r="K1420" s="3" t="inlineStr">
        <is>
          <t>90.6p, 국제고, 충남대병원 인근 아름동 단독주택지</t>
        </is>
      </c>
      <c r="L1420" s="6">
        <f>HYPERLINK("https://fin.land.naver.com/articles/2654893286", "매물Link")</f>
        <v/>
      </c>
      <c r="M1420" s="6">
        <f>HYPERLINK("https://map.naver.com/p/search/아름동 929", "지도Link")</f>
        <v/>
      </c>
      <c r="N1420" s="6">
        <f>HYPERLINK("http://www.eum.go.kr/web/ar/lu/luLandDet.jsp?pnu=3611011300109290000&amp;isNoScr=script&amp;mode=search",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299.1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총 90.6p, 국제고인근 단독주택 토지매매</t>
        </is>
      </c>
      <c r="L1421" s="6">
        <f>HYPERLINK("https://fin.land.naver.com/articles/2652842317",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급매매,앞,뒤 양면도로 접한  토지</t>
        </is>
      </c>
      <c r="L1422" s="6">
        <f>HYPERLINK("https://fin.land.naver.com/articles/2656270753",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킹세종</t>
        </is>
      </c>
      <c r="P1422" s="4" t="n">
        <v>2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961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65000</v>
      </c>
      <c r="G1423" s="4" t="n">
        <v>299</v>
      </c>
      <c r="H1423" s="4" t="n">
        <v>90</v>
      </c>
      <c r="I1423" s="5" t="n">
        <v>722.2</v>
      </c>
      <c r="J1423" s="5" t="n">
        <v>344.5</v>
      </c>
      <c r="K1423" s="3" t="inlineStr">
        <is>
          <t>좋은매물 단독주택등추천 협의</t>
        </is>
      </c>
      <c r="L1423" s="6">
        <f>HYPERLINK("https://fin.land.naver.com/articles/2652055256", "매물Link")</f>
        <v/>
      </c>
      <c r="M1423" s="6">
        <f>HYPERLINK("https://map.naver.com/p/search/아름동 961", "지도Link")</f>
        <v/>
      </c>
      <c r="N1423" s="6">
        <f>HYPERLINK("http://www.eum.go.kr/web/ar/lu/luLandDet.jsp?pnu=3611011300109610000&amp;isNoScr=script&amp;mode=search", "토지이음")</f>
        <v/>
      </c>
      <c r="O1423" s="3" t="inlineStr">
        <is>
          <t>세석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삼거리 코너, 아름동 입지 좋은 단독주택지</t>
        </is>
      </c>
      <c r="L1424" s="6">
        <f>HYPERLINK("https://fin.land.naver.com/articles/2653682488",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962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51000</v>
      </c>
      <c r="G1425" s="4" t="n">
        <v>300</v>
      </c>
      <c r="H1425" s="4" t="n">
        <v>91</v>
      </c>
      <c r="I1425" s="5" t="n">
        <v>560.4</v>
      </c>
      <c r="J1425" s="5" t="n">
        <v>330.6</v>
      </c>
      <c r="K1425" s="3" t="inlineStr">
        <is>
          <t>급매토지입니다. 도심속 전원주택지</t>
        </is>
      </c>
      <c r="L1425" s="6">
        <f>HYPERLINK("https://fin.land.naver.com/articles/2653985243", "매물Link")</f>
        <v/>
      </c>
      <c r="M1425" s="6">
        <f>HYPERLINK("https://map.naver.com/p/search/아름동 962", "지도Link")</f>
        <v/>
      </c>
      <c r="N1425" s="6">
        <f>HYPERLINK("http://www.eum.go.kr/web/ar/lu/luLandDet.jsp?pnu=3611011300109620000&amp;isNoScr=script&amp;mode=search", "토지이음")</f>
        <v/>
      </c>
      <c r="O1425" s="3" t="inlineStr">
        <is>
          <t>장원</t>
        </is>
      </c>
      <c r="P1425" s="4" t="n">
        <v>1</v>
      </c>
      <c r="Q1425" s="4" t="n">
        <v>300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소로한면</t>
        </is>
      </c>
    </row>
    <row r="1426">
      <c r="A1426" s="3" t="inlineStr">
        <is>
          <t>아름동 963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298</v>
      </c>
      <c r="H1426" s="4" t="n">
        <v>90</v>
      </c>
      <c r="I1426" s="5" t="n">
        <v>666.7</v>
      </c>
      <c r="J1426" s="5" t="n">
        <v>330.6</v>
      </c>
      <c r="K1426" s="3" t="inlineStr">
        <is>
          <t>급매,전원주택지로 충대병원 인접, 교통 및 학군 편리한 생활권</t>
        </is>
      </c>
      <c r="L1426" s="6">
        <f>HYPERLINK("https://fin.land.naver.com/articles/2650851379", "매물Link")</f>
        <v/>
      </c>
      <c r="M1426" s="6">
        <f>HYPERLINK("https://map.naver.com/p/search/아름동 963", "지도Link")</f>
        <v/>
      </c>
      <c r="N1426" s="6">
        <f>HYPERLINK("http://www.eum.go.kr/web/ar/lu/luLandDet.jsp?pnu=3611011300109630000&amp;isNoScr=script&amp;mode=search", "토지이음")</f>
        <v/>
      </c>
      <c r="O1426" s="3" t="inlineStr">
        <is>
          <t>고운맘</t>
        </is>
      </c>
      <c r="P1426" s="4" t="n">
        <v>1</v>
      </c>
      <c r="Q1426" s="4" t="n">
        <v>298.9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조율가능, 급매, 아름동 위치좋은 단독주택지</t>
        </is>
      </c>
      <c r="L1427" s="6">
        <f>HYPERLINK("https://fin.land.naver.com/articles/2655855235",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언덕형 지대높음 채광 개방감 좋음 조율가능</t>
        </is>
      </c>
      <c r="L1428" s="6">
        <f>HYPERLINK("https://fin.land.naver.com/articles/2651114707",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77000</v>
      </c>
      <c r="G1429" s="4" t="n">
        <v>298</v>
      </c>
      <c r="H1429" s="4" t="n">
        <v>90</v>
      </c>
      <c r="I1429" s="5" t="n">
        <v>855.6</v>
      </c>
      <c r="J1429" s="5" t="n">
        <v>344.5</v>
      </c>
      <c r="K1429" s="3" t="inlineStr">
        <is>
          <t>총 90.6p, 조율가능, 아름동 단독주택지, 국제고 인근</t>
        </is>
      </c>
      <c r="L1429" s="6">
        <f>HYPERLINK("https://fin.land.naver.com/articles/2652837454", "매물Link")</f>
        <v/>
      </c>
      <c r="M1429" s="6">
        <f>HYPERLINK("https://map.naver.com/p/search/아름동 964", "지도Link")</f>
        <v/>
      </c>
      <c r="N1429" s="6">
        <f>HYPERLINK("http://www.eum.go.kr/web/ar/lu/luLandDet.jsp?pnu=3611011300109640000&amp;isNoScr=script&amp;mode=search",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사거리 코너 입지, 가격 최대 조율가능</t>
        </is>
      </c>
      <c r="L1430" s="6">
        <f>HYPERLINK("https://fin.land.naver.com/articles/2655278747",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85000</v>
      </c>
      <c r="G1432" s="4" t="n">
        <v>353</v>
      </c>
      <c r="H1432" s="4" t="n">
        <v>107</v>
      </c>
      <c r="I1432" s="5" t="n">
        <v>794.4</v>
      </c>
      <c r="J1432" s="5" t="n">
        <v>330.6</v>
      </c>
      <c r="K1432" s="3" t="inlineStr">
        <is>
          <t>국제고, 영재고, 충대병원인근, IC인접 107.2p</t>
        </is>
      </c>
      <c r="L1432" s="6">
        <f>HYPERLINK("https://fin.land.naver.com/articles/2652841023", "매물Link")</f>
        <v/>
      </c>
      <c r="M1432" s="6">
        <f>HYPERLINK("https://map.naver.com/p/search/아름동 966", "지도Link")</f>
        <v/>
      </c>
      <c r="N1432" s="6">
        <f>HYPERLINK("http://www.eum.go.kr/web/ar/lu/luLandDet.jsp?pnu=3611011300109660000&amp;isNoScr=script&amp;mode=search",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353.6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총 107.2p, 국제고, 충남대병원인근</t>
        </is>
      </c>
      <c r="L1433" s="6">
        <f>HYPERLINK("https://fin.land.naver.com/articles/2654231996",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971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79560</v>
      </c>
      <c r="G1434" s="4" t="n">
        <v>308</v>
      </c>
      <c r="H1434" s="4" t="n">
        <v>93</v>
      </c>
      <c r="I1434" s="5" t="n">
        <v>855.5</v>
      </c>
      <c r="J1434" s="5" t="n">
        <v>330.6</v>
      </c>
      <c r="K1434" s="3" t="inlineStr">
        <is>
          <t>공원앞, 충대병원, 국제고 인근, 아름동 단독주택지</t>
        </is>
      </c>
      <c r="L1434" s="6">
        <f>HYPERLINK("https://fin.land.naver.com/articles/2656269561", "매물Link")</f>
        <v/>
      </c>
      <c r="M1434" s="6">
        <f>HYPERLINK("https://map.naver.com/p/search/아름동 971", "지도Link")</f>
        <v/>
      </c>
      <c r="N1434" s="6">
        <f>HYPERLINK("http://www.eum.go.kr/web/ar/lu/luLandDet.jsp?pnu=3611011300109710000&amp;isNoScr=script&amp;mode=search",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308.9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994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75000</v>
      </c>
      <c r="G1435" s="4" t="n">
        <v>324</v>
      </c>
      <c r="H1435" s="4" t="n">
        <v>98</v>
      </c>
      <c r="I1435" s="5" t="n">
        <v>765.3</v>
      </c>
      <c r="J1435" s="5" t="n">
        <v>335.5</v>
      </c>
      <c r="K1435" s="3" t="inlineStr">
        <is>
          <t>급매 최상단 뻥조망 위치최상 벙커주차장가능</t>
        </is>
      </c>
      <c r="L1435" s="6">
        <f>HYPERLINK("https://fin.land.naver.com/articles/2651086404", "매물Link")</f>
        <v/>
      </c>
      <c r="M1435" s="6">
        <f>HYPERLINK("https://map.naver.com/p/search/아름동 994", "지도Link")</f>
        <v/>
      </c>
      <c r="N1435" s="6">
        <f>HYPERLINK("http://www.eum.go.kr/web/ar/lu/luLandDet.jsp?pnu=3611011300109940000&amp;isNoScr=script&amp;mode=search", "토지이음")</f>
        <v/>
      </c>
      <c r="O1435" s="3" t="inlineStr">
        <is>
          <t>세종스타</t>
        </is>
      </c>
      <c r="P1435" s="4" t="n">
        <v>1</v>
      </c>
      <c r="Q1435" s="4" t="n">
        <v>324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소로한면</t>
        </is>
      </c>
    </row>
    <row r="1436">
      <c r="A1436" s="3" t="inlineStr">
        <is>
          <t>어진동 499-40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128000</v>
      </c>
      <c r="G1436" s="4" t="n">
        <v>420</v>
      </c>
      <c r="H1436" s="4" t="n">
        <v>127</v>
      </c>
      <c r="I1436" s="5" t="n">
        <v>1007.9</v>
      </c>
      <c r="J1436" s="5" t="n">
        <v>358</v>
      </c>
      <c r="K1436" s="3" t="inlineStr">
        <is>
          <t>급매 세종시 최고택지 더빌리지 조율가능</t>
        </is>
      </c>
      <c r="L1436" s="6">
        <f>HYPERLINK("https://fin.land.naver.com/articles/2652945092", "매물Link")</f>
        <v/>
      </c>
      <c r="M1436" s="6">
        <f>HYPERLINK("https://map.naver.com/p/search/어진동 499-40", "지도Link")</f>
        <v/>
      </c>
      <c r="N1436" s="6">
        <f>HYPERLINK("http://www.eum.go.kr/web/ar/lu/luLandDet.jsp?pnu=3611011000104990040&amp;isNoScr=script&amp;mode=search",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420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세로한면(가)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418</v>
      </c>
      <c r="H1437" s="4" t="n">
        <v>126</v>
      </c>
      <c r="I1437" s="5" t="n">
        <v>1015.9</v>
      </c>
      <c r="J1437" s="5" t="n">
        <v>358</v>
      </c>
      <c r="K1437" s="3" t="inlineStr">
        <is>
          <t>고급 타운하우스 전원주택지 매매, 가격 좋고 입지 좋은 곳</t>
        </is>
      </c>
      <c r="L1437" s="6">
        <f>HYPERLINK("https://fin.land.naver.com/articles/2651948190",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420</v>
      </c>
      <c r="H1438" s="4" t="n">
        <v>127</v>
      </c>
      <c r="I1438" s="5" t="n">
        <v>1007.9</v>
      </c>
      <c r="J1438" s="5" t="n">
        <v>358</v>
      </c>
      <c r="K1438" s="3" t="inlineStr">
        <is>
          <t>더빌리지 급매, BRT, 학교인근, 블럭형 단독주택지</t>
        </is>
      </c>
      <c r="L1438" s="6">
        <f>HYPERLINK("https://fin.land.naver.com/articles/2651188818",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연기면 눌왕리 103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300000</v>
      </c>
      <c r="G1439" s="4" t="n">
        <v>4526</v>
      </c>
      <c r="H1439" s="4" t="n">
        <v>1369</v>
      </c>
      <c r="I1439" s="5" t="n">
        <v>219.1</v>
      </c>
      <c r="J1439" s="5" t="n">
        <v>67.90000000000001</v>
      </c>
      <c r="K1439" s="3" t="inlineStr">
        <is>
          <t>투자최고물건 진입도로 인근아파트단지개발</t>
        </is>
      </c>
      <c r="L1439" s="6">
        <f>HYPERLINK("https://fin.land.naver.com/articles/2653378347", "매물Link")</f>
        <v/>
      </c>
      <c r="M1439" s="6">
        <f>HYPERLINK("https://map.naver.com/p/search/연기면 눌왕리 103", "지도Link")</f>
        <v/>
      </c>
      <c r="N1439" s="6">
        <f>HYPERLINK("http://www.eum.go.kr/web/ar/lu/luLandDet.jsp?pnu=3611031023101030000&amp;isNoScr=script&amp;mode=search", "토지이음")</f>
        <v/>
      </c>
      <c r="O1439" s="3" t="inlineStr">
        <is>
          <t>세종대왕</t>
        </is>
      </c>
      <c r="P1439" s="4" t="n">
        <v>1</v>
      </c>
      <c r="Q1439" s="4" t="n">
        <v>4526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눌왕리 121-1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189500</v>
      </c>
      <c r="G1440" s="4" t="n">
        <v>2505</v>
      </c>
      <c r="H1440" s="4" t="n">
        <v>758</v>
      </c>
      <c r="I1440" s="5" t="n">
        <v>250</v>
      </c>
      <c r="J1440" s="5" t="n">
        <v>65.59999999999999</v>
      </c>
      <c r="K1440" s="3" t="inlineStr">
        <is>
          <t>2차선 도로변,주변 호재로 투자가치 상승 예상지역</t>
        </is>
      </c>
      <c r="L1440" s="6">
        <f>HYPERLINK("https://fin.land.naver.com/articles/2655600881", "매물Link")</f>
        <v/>
      </c>
      <c r="M1440" s="6">
        <f>HYPERLINK("https://map.naver.com/p/search/연기면 눌왕리 121-1", "지도Link")</f>
        <v/>
      </c>
      <c r="N1440" s="6">
        <f>HYPERLINK("http://www.eum.go.kr/web/ar/lu/luLandDet.jsp?pnu=3611031023101210001&amp;isNoScr=script&amp;mode=search", "토지이음")</f>
        <v/>
      </c>
      <c r="O1440" s="3" t="inlineStr">
        <is>
          <t>가치잇는</t>
        </is>
      </c>
      <c r="P1440" s="4" t="n">
        <v>1</v>
      </c>
      <c r="Q1440" s="4" t="n">
        <v>2505</v>
      </c>
      <c r="R1440" s="3" t="inlineStr">
        <is>
          <t>지정되지않음</t>
        </is>
      </c>
      <c r="S1440" s="3" t="inlineStr">
        <is>
          <t>답기타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연기면 눌왕리 149-1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73000</v>
      </c>
      <c r="G1441" s="4" t="n">
        <v>1205</v>
      </c>
      <c r="H1441" s="4" t="n">
        <v>365</v>
      </c>
      <c r="I1441" s="5" t="n">
        <v>200</v>
      </c>
      <c r="J1441" s="5" t="n">
        <v>59.8</v>
      </c>
      <c r="K1441" s="3" t="inlineStr">
        <is>
          <t>도로접,주변 개발 기대감으로 가치상승 유망</t>
        </is>
      </c>
      <c r="L1441" s="6">
        <f>HYPERLINK("https://fin.land.naver.com/articles/2653271575", "매물Link")</f>
        <v/>
      </c>
      <c r="M1441" s="6">
        <f>HYPERLINK("https://map.naver.com/p/search/연기면 눌왕리 149-1", "지도Link")</f>
        <v/>
      </c>
      <c r="N1441" s="6">
        <f>HYPERLINK("http://www.eum.go.kr/web/ar/lu/luLandDet.jsp?pnu=3611031023101490001&amp;isNoScr=script&amp;mode=search",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1205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연기면 눌왕리 151-1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133760</v>
      </c>
      <c r="G1442" s="4" t="n">
        <v>2330</v>
      </c>
      <c r="H1442" s="4" t="n">
        <v>705</v>
      </c>
      <c r="I1442" s="5" t="n">
        <v>189.7</v>
      </c>
      <c r="J1442" s="5" t="n">
        <v>55.9</v>
      </c>
      <c r="K1442" s="3" t="inlineStr">
        <is>
          <t>지주작업 진행중 아파트 개발 기대감 최고 눌왕리 도로접 알짜 과수원</t>
        </is>
      </c>
      <c r="L1442" s="6">
        <f>HYPERLINK("https://fin.land.naver.com/articles/2651528682", "매물Link")</f>
        <v/>
      </c>
      <c r="M1442" s="6">
        <f>HYPERLINK("https://map.naver.com/p/search/연기면 눌왕리 151-1", "지도Link")</f>
        <v/>
      </c>
      <c r="N1442" s="6">
        <f>HYPERLINK("http://www.eum.go.kr/web/ar/lu/luLandDet.jsp?pnu=3611031023101510001&amp;isNoScr=script&amp;mode=search", "토지이음")</f>
        <v/>
      </c>
      <c r="O1442" s="3" t="inlineStr">
        <is>
          <t>한아름</t>
        </is>
      </c>
      <c r="P1442" s="4" t="n">
        <v>1</v>
      </c>
      <c r="Q1442" s="4" t="n">
        <v>4660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연기면 눌왕리 152-1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161100</v>
      </c>
      <c r="G1443" s="4" t="n">
        <v>2960</v>
      </c>
      <c r="H1443" s="4" t="n">
        <v>895</v>
      </c>
      <c r="I1443" s="5" t="n">
        <v>180</v>
      </c>
      <c r="J1443" s="5" t="n">
        <v>55.9</v>
      </c>
      <c r="K1443" s="3" t="inlineStr">
        <is>
          <t>세종 신도시조치원 핵심축 개발권 초인접 눌왕리 귀한 필지</t>
        </is>
      </c>
      <c r="L1443" s="6">
        <f>HYPERLINK("https://fin.land.naver.com/articles/2651530595", "매물Link")</f>
        <v/>
      </c>
      <c r="M1443" s="6">
        <f>HYPERLINK("https://map.naver.com/p/search/연기면 눌왕리 152-1", "지도Link")</f>
        <v/>
      </c>
      <c r="N1443" s="6">
        <f>HYPERLINK("http://www.eum.go.kr/web/ar/lu/luLandDet.jsp?pnu=3611031023101520001&amp;isNoScr=script&amp;mode=search",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2960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세로한면(가)</t>
        </is>
      </c>
    </row>
    <row r="1444">
      <c r="A1444" s="3" t="inlineStr">
        <is>
          <t>연기면 눌왕리 152-5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100000</v>
      </c>
      <c r="G1444" s="4" t="n">
        <v>2570</v>
      </c>
      <c r="H1444" s="4" t="n">
        <v>777</v>
      </c>
      <c r="I1444" s="5" t="n">
        <v>128.7</v>
      </c>
      <c r="J1444" s="5" t="n">
        <v>57</v>
      </c>
      <c r="K1444" s="3" t="inlineStr">
        <is>
          <t>융자무.장기투자가치.한국GM물류센터인접.세종농협농축산유통센터건너편</t>
        </is>
      </c>
      <c r="L1444" s="6">
        <f>HYPERLINK("https://fin.land.naver.com/articles/2651985752", "매물Link")</f>
        <v/>
      </c>
      <c r="M1444" s="6">
        <f>HYPERLINK("https://map.naver.com/p/search/연기면 눌왕리 152-5", "지도Link")</f>
        <v/>
      </c>
      <c r="N1444" s="6">
        <f>HYPERLINK("http://www.eum.go.kr/web/ar/lu/luLandDet.jsp?pnu=3611031023101520005&amp;isNoScr=script&amp;mode=search", "토지이음")</f>
        <v/>
      </c>
      <c r="O1444" s="3" t="inlineStr">
        <is>
          <t>돈방석</t>
        </is>
      </c>
      <c r="P1444" s="4" t="n">
        <v>1</v>
      </c>
      <c r="Q1444" s="4" t="n">
        <v>2570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157-21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57800</v>
      </c>
      <c r="G1445" s="4" t="n">
        <v>957</v>
      </c>
      <c r="H1445" s="4" t="n">
        <v>289</v>
      </c>
      <c r="I1445" s="5" t="n">
        <v>200</v>
      </c>
      <c r="J1445" s="5" t="n">
        <v>80.59999999999999</v>
      </c>
      <c r="K1445" s="3" t="inlineStr">
        <is>
          <t>도로에 접한 계획관리 토지</t>
        </is>
      </c>
      <c r="L1445" s="6">
        <f>HYPERLINK("https://fin.land.naver.com/articles/2655169434", "매물Link")</f>
        <v/>
      </c>
      <c r="M1445" s="6">
        <f>HYPERLINK("https://map.naver.com/p/search/연기면 눌왕리 157-21", "지도Link")</f>
        <v/>
      </c>
      <c r="N1445" s="6">
        <f>HYPERLINK("http://www.eum.go.kr/web/ar/lu/luLandDet.jsp?pnu=3611031023101570021&amp;isNoScr=script&amp;mode=search",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957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눌왕리 157-8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78000</v>
      </c>
      <c r="G1446" s="4" t="n">
        <v>957</v>
      </c>
      <c r="H1446" s="4" t="n">
        <v>289</v>
      </c>
      <c r="I1446" s="5" t="n">
        <v>269.9</v>
      </c>
      <c r="J1446" s="5" t="n">
        <v>76.8</v>
      </c>
      <c r="K1446" s="3" t="inlineStr">
        <is>
          <t>현재 과수원으로 이용되고 있는 토지</t>
        </is>
      </c>
      <c r="L1446" s="6">
        <f>HYPERLINK("https://fin.land.naver.com/articles/2655257695", "매물Link")</f>
        <v/>
      </c>
      <c r="M1446" s="6">
        <f>HYPERLINK("https://map.naver.com/p/search/연기면 눌왕리 157-8", "지도Link")</f>
        <v/>
      </c>
      <c r="N1446" s="6">
        <f>HYPERLINK("http://www.eum.go.kr/web/ar/lu/luLandDet.jsp?pnu=3611031023101570008&amp;isNoScr=script&amp;mode=search",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눌왕리 157-9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조율가능 카페 음식점 창고 최적 지대약간높아 전망좋음</t>
        </is>
      </c>
      <c r="L1447" s="6">
        <f>HYPERLINK("https://fin.land.naver.com/articles/2651114061", "매물Link")</f>
        <v/>
      </c>
      <c r="M1447" s="6">
        <f>HYPERLINK("https://map.naver.com/p/search/연기면 눌왕리 157-9", "지도Link")</f>
        <v/>
      </c>
      <c r="N1447" s="6">
        <f>HYPERLINK("http://www.eum.go.kr/web/ar/lu/luLandDet.jsp?pnu=3611031023101570009&amp;isNoScr=script&amp;mode=search", "토지이음")</f>
        <v/>
      </c>
      <c r="O1447" s="3" t="inlineStr">
        <is>
          <t>세종스타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159-1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192500</v>
      </c>
      <c r="G1448" s="4" t="n">
        <v>2446</v>
      </c>
      <c r="H1448" s="4" t="n">
        <v>740</v>
      </c>
      <c r="I1448" s="5" t="n">
        <v>260.1</v>
      </c>
      <c r="J1448" s="5" t="n">
        <v>81.5</v>
      </c>
      <c r="K1448" s="3" t="inlineStr">
        <is>
          <t>연기면 눌왕리 도로접한 계획관리지역</t>
        </is>
      </c>
      <c r="L1448" s="6">
        <f>HYPERLINK("https://fin.land.naver.com/articles/2656000256", "매물Link")</f>
        <v/>
      </c>
      <c r="M1448" s="6">
        <f>HYPERLINK("https://map.naver.com/p/search/연기면 눌왕리 159-1", "지도Link")</f>
        <v/>
      </c>
      <c r="N1448" s="6">
        <f>HYPERLINK("http://www.eum.go.kr/web/ar/lu/luLandDet.jsp?pnu=3611031023101590001&amp;isNoScr=script&amp;mode=search", "토지이음")</f>
        <v/>
      </c>
      <c r="O1448" s="3" t="inlineStr">
        <is>
          <t>세종천지</t>
        </is>
      </c>
      <c r="P1448" s="4" t="n">
        <v>1</v>
      </c>
      <c r="Q1448" s="4" t="n">
        <v>2446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눌왕리 180-2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58000</v>
      </c>
      <c r="G1449" s="4" t="n">
        <v>616</v>
      </c>
      <c r="H1449" s="4" t="n">
        <v>186</v>
      </c>
      <c r="I1449" s="5" t="n">
        <v>311.8</v>
      </c>
      <c r="J1449" s="5" t="n">
        <v>81.7</v>
      </c>
      <c r="K1449" s="3" t="inlineStr">
        <is>
          <t>세종시 연기면 눌왕리 전망좋은 전원주택지 매매</t>
        </is>
      </c>
      <c r="L1449" s="6">
        <f>HYPERLINK("https://fin.land.naver.com/articles/2650993187", "매물Link")</f>
        <v/>
      </c>
      <c r="M1449" s="6">
        <f>HYPERLINK("https://map.naver.com/p/search/연기면 눌왕리 180-2", "지도Link")</f>
        <v/>
      </c>
      <c r="N1449" s="6">
        <f>HYPERLINK("http://www.eum.go.kr/web/ar/lu/luLandDet.jsp?pnu=3611031023101800002&amp;isNoScr=script&amp;mode=search",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616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눌왕리 217-3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31000</v>
      </c>
      <c r="G1450" s="4" t="n">
        <v>329</v>
      </c>
      <c r="H1450" s="4" t="n">
        <v>100</v>
      </c>
      <c r="I1450" s="5" t="n">
        <v>310</v>
      </c>
      <c r="J1450" s="5" t="n">
        <v>117.2</v>
      </c>
      <c r="K1450" s="3" t="inlineStr">
        <is>
          <t>국가산업단지 인접한 대지 매매</t>
        </is>
      </c>
      <c r="L1450" s="6">
        <f>HYPERLINK("https://fin.land.naver.com/articles/2655085930", "매물Link")</f>
        <v/>
      </c>
      <c r="M1450" s="6">
        <f>HYPERLINK("https://map.naver.com/p/search/연기면 눌왕리 217-3", "지도Link")</f>
        <v/>
      </c>
      <c r="N1450" s="6">
        <f>HYPERLINK("http://www.eum.go.kr/web/ar/lu/luLandDet.jsp?pnu=3611031023102170003&amp;isNoScr=script&amp;mode=search",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329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280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94500</v>
      </c>
      <c r="G1451" s="4" t="n">
        <v>1250</v>
      </c>
      <c r="H1451" s="4" t="n">
        <v>378</v>
      </c>
      <c r="I1451" s="5" t="n">
        <v>250</v>
      </c>
      <c r="J1451" s="5" t="n">
        <v>62.3</v>
      </c>
      <c r="K1451" s="3" t="inlineStr">
        <is>
          <t>2차선 도로변으로 접근성 양호</t>
        </is>
      </c>
      <c r="L1451" s="6">
        <f>HYPERLINK("https://fin.land.naver.com/articles/2655600711", "매물Link")</f>
        <v/>
      </c>
      <c r="M1451" s="6">
        <f>HYPERLINK("https://map.naver.com/p/search/연기면 눌왕리 280", "지도Link")</f>
        <v/>
      </c>
      <c r="N1451" s="6">
        <f>HYPERLINK("http://www.eum.go.kr/web/ar/lu/luLandDet.jsp?pnu=3611031023102800000&amp;isNoScr=script&amp;mode=search", "토지이음")</f>
        <v/>
      </c>
      <c r="O1451" s="3" t="inlineStr">
        <is>
          <t>가치잇는</t>
        </is>
      </c>
      <c r="P1451" s="4" t="n">
        <v>1</v>
      </c>
      <c r="Q1451" s="4" t="n">
        <v>1250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연기면 눌왕리 282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154000</v>
      </c>
      <c r="G1452" s="4" t="n">
        <v>2037</v>
      </c>
      <c r="H1452" s="4" t="n">
        <v>616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HYPERLINK("https://fin.land.naver.com/articles/2655601055", "매물Link")</f>
        <v/>
      </c>
      <c r="M1452" s="6">
        <f>HYPERLINK("https://map.naver.com/p/search/연기면 눌왕리 282", "지도Link")</f>
        <v/>
      </c>
      <c r="N1452" s="6">
        <f>HYPERLINK("http://www.eum.go.kr/web/ar/lu/luLandDet.jsp?pnu=3611031023102820000&amp;isNoScr=script&amp;mode=search",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2037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연기면 눌왕리 307-1</t>
        </is>
      </c>
      <c r="B1453" s="3" t="inlineStr">
        <is>
          <t>농림지역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370000</v>
      </c>
      <c r="G1453" s="4" t="n">
        <v>4063</v>
      </c>
      <c r="H1453" s="4" t="n">
        <v>1229</v>
      </c>
      <c r="I1453" s="5" t="n">
        <v>301.1</v>
      </c>
      <c r="J1453" s="5" t="n">
        <v>65.09999999999999</v>
      </c>
      <c r="K1453" s="3" t="inlineStr">
        <is>
          <t>국가산단 인근,가치상승 개발기대감 높은 토지</t>
        </is>
      </c>
      <c r="L1453" s="6">
        <f>HYPERLINK("https://fin.land.naver.com/articles/2653271343", "매물Link")</f>
        <v/>
      </c>
      <c r="M1453" s="6">
        <f>HYPERLINK("https://map.naver.com/p/search/연기면 눌왕리 307-1", "지도Link")</f>
        <v/>
      </c>
      <c r="N1453" s="6">
        <f>HYPERLINK("http://www.eum.go.kr/web/ar/lu/luLandDet.jsp?pnu=3611031023103070001&amp;isNoScr=script&amp;mode=search",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4063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눌왕리 380-1</t>
        </is>
      </c>
      <c r="B1454" s="3" t="inlineStr">
        <is>
          <t>보전관리지역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33000</v>
      </c>
      <c r="G1454" s="4" t="n">
        <v>1085</v>
      </c>
      <c r="H1454" s="4" t="n">
        <v>328</v>
      </c>
      <c r="I1454" s="5" t="n">
        <v>100.6</v>
      </c>
      <c r="J1454" s="5" t="n">
        <v>16.7</v>
      </c>
      <c r="K1454" s="3" t="inlineStr">
        <is>
          <t>연기면 눌왕리 전원주택지</t>
        </is>
      </c>
      <c r="L1454" s="6">
        <f>HYPERLINK("https://fin.land.naver.com/articles/2651322482", "매물Link")</f>
        <v/>
      </c>
      <c r="M1454" s="6">
        <f>HYPERLINK("https://map.naver.com/p/search/연기면 눌왕리 380-1", "지도Link")</f>
        <v/>
      </c>
      <c r="N1454" s="6">
        <f>HYPERLINK("http://www.eum.go.kr/web/ar/lu/luLandDet.jsp?pnu=3611031023103800001&amp;isNoScr=script&amp;mode=search", "토지이음")</f>
        <v/>
      </c>
      <c r="O1454" s="3" t="inlineStr">
        <is>
          <t>금강</t>
        </is>
      </c>
      <c r="P1454" s="4" t="n">
        <v>1</v>
      </c>
      <c r="Q1454" s="4" t="n">
        <v>1085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고지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연기면 눌왕리 388</t>
        </is>
      </c>
      <c r="B1455" s="3" t="inlineStr">
        <is>
          <t>계획관리지역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51240</v>
      </c>
      <c r="G1455" s="4" t="n">
        <v>605</v>
      </c>
      <c r="H1455" s="4" t="n">
        <v>183</v>
      </c>
      <c r="I1455" s="5" t="n">
        <v>280</v>
      </c>
      <c r="J1455" s="5" t="n">
        <v>63.9</v>
      </c>
      <c r="K1455" s="3" t="inlineStr">
        <is>
          <t>자연취락지구, 계획관리지역, 성장관리계획구역 내 토지</t>
        </is>
      </c>
      <c r="L1455" s="6">
        <f>HYPERLINK("https://fin.land.naver.com/articles/2655033467", "매물Link")</f>
        <v/>
      </c>
      <c r="M1455" s="6">
        <f>HYPERLINK("https://map.naver.com/p/search/연기면 눌왕리 388", "지도Link")</f>
        <v/>
      </c>
      <c r="N1455" s="6">
        <f>HYPERLINK("http://www.eum.go.kr/web/ar/lu/luLandDet.jsp?pnu=3611031023103880000&amp;isNoScr=script&amp;mode=search", "토지이음")</f>
        <v/>
      </c>
      <c r="O1455" s="3" t="inlineStr">
        <is>
          <t>네거리</t>
        </is>
      </c>
      <c r="P1455" s="4" t="n">
        <v>1</v>
      </c>
      <c r="Q1455" s="4" t="n">
        <v>605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눌왕리 414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78000</v>
      </c>
      <c r="G1456" s="4" t="n">
        <v>1716</v>
      </c>
      <c r="H1456" s="4" t="n">
        <v>519</v>
      </c>
      <c r="I1456" s="5" t="n">
        <v>150.3</v>
      </c>
      <c r="J1456" s="5" t="n">
        <v>55.2</v>
      </c>
      <c r="K1456" s="3" t="inlineStr">
        <is>
          <t>장기보유권장</t>
        </is>
      </c>
      <c r="L1456" s="6">
        <f>HYPERLINK("https://fin.land.naver.com/articles/2653703548", "매물Link")</f>
        <v/>
      </c>
      <c r="M1456" s="6">
        <f>HYPERLINK("https://map.naver.com/p/search/연기면 눌왕리 414", "지도Link")</f>
        <v/>
      </c>
      <c r="N1456" s="6">
        <f>HYPERLINK("http://www.eum.go.kr/web/ar/lu/luLandDet.jsp?pnu=3611031023104140000&amp;isNoScr=script&amp;mode=search", "토지이음")</f>
        <v/>
      </c>
      <c r="O1456" s="3" t="inlineStr">
        <is>
          <t>지원</t>
        </is>
      </c>
      <c r="P1456" s="4" t="n">
        <v>1</v>
      </c>
      <c r="Q1456" s="4" t="n">
        <v>278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연기면 눌왕리 425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163460</v>
      </c>
      <c r="G1457" s="4" t="n">
        <v>2455</v>
      </c>
      <c r="H1457" s="4" t="n">
        <v>743</v>
      </c>
      <c r="I1457" s="5" t="n">
        <v>220</v>
      </c>
      <c r="J1457" s="5" t="n">
        <v>71.7</v>
      </c>
      <c r="K1457" s="3" t="inlineStr">
        <is>
          <t>위치좋은 토지로 투자용으로 적극추천함.</t>
        </is>
      </c>
      <c r="L1457" s="6">
        <f>HYPERLINK("https://fin.land.naver.com/articles/2654852368", "매물Link")</f>
        <v/>
      </c>
      <c r="M1457" s="6">
        <f>HYPERLINK("https://map.naver.com/p/search/연기면 눌왕리 425", "지도Link")</f>
        <v/>
      </c>
      <c r="N1457" s="6">
        <f>HYPERLINK("http://www.eum.go.kr/web/ar/lu/luLandDet.jsp?pnu=3611031023104250000&amp;isNoScr=script&amp;mode=search", "토지이음")</f>
        <v/>
      </c>
      <c r="O1457" s="3" t="inlineStr">
        <is>
          <t>세종리츠</t>
        </is>
      </c>
      <c r="P1457" s="4" t="n">
        <v>2</v>
      </c>
      <c r="Q1457" s="4" t="n">
        <v>1545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눌왕리 557-1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86200</v>
      </c>
      <c r="G1458" s="4" t="n">
        <v>1424</v>
      </c>
      <c r="H1458" s="4" t="n">
        <v>431</v>
      </c>
      <c r="I1458" s="5" t="n">
        <v>200</v>
      </c>
      <c r="J1458" s="5" t="n">
        <v>55.2</v>
      </c>
      <c r="K1458" s="3" t="inlineStr">
        <is>
          <t>미래가치를 품은 세종시 최적의 투자처 연기면 눌왕리 토지 매매</t>
        </is>
      </c>
      <c r="L1458" s="6">
        <f>HYPERLINK("https://fin.land.naver.com/articles/2651270748", "매물Link")</f>
        <v/>
      </c>
      <c r="M1458" s="6">
        <f>HYPERLINK("https://map.naver.com/p/search/연기면 눌왕리 557-1", "지도Link")</f>
        <v/>
      </c>
      <c r="N1458" s="6">
        <f>HYPERLINK("http://www.eum.go.kr/web/ar/lu/luLandDet.jsp?pnu=3611031023105570001&amp;isNoScr=script&amp;mode=search", "토지이음")</f>
        <v/>
      </c>
      <c r="O1458" s="3" t="inlineStr">
        <is>
          <t>지성</t>
        </is>
      </c>
      <c r="P1458" s="4" t="n">
        <v>1</v>
      </c>
      <c r="Q1458" s="4" t="n">
        <v>1424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연기면 눌왕리 566-1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54000</v>
      </c>
      <c r="G1459" s="4" t="n">
        <v>1388</v>
      </c>
      <c r="H1459" s="4" t="n">
        <v>420</v>
      </c>
      <c r="I1459" s="5" t="n">
        <v>128.6</v>
      </c>
      <c r="J1459" s="5" t="n">
        <v>10.7</v>
      </c>
      <c r="K1459" s="3" t="inlineStr">
        <is>
          <t>토지임야  세종스마트국가산업단지 인근</t>
        </is>
      </c>
      <c r="L1459" s="6">
        <f>HYPERLINK("https://fin.land.naver.com/articles/2652586975", "매물Link")</f>
        <v/>
      </c>
      <c r="M1459" s="6">
        <f>HYPERLINK("https://map.naver.com/p/search/연기면 눌왕리 566-1", "지도Link")</f>
        <v/>
      </c>
      <c r="N1459" s="6">
        <f>HYPERLINK("http://www.eum.go.kr/web/ar/lu/luLandDet.jsp?pnu=3611031023105660001&amp;isNoScr=script&amp;mode=search", "토지이음")</f>
        <v/>
      </c>
      <c r="O1459" s="3" t="inlineStr">
        <is>
          <t>킹</t>
        </is>
      </c>
      <c r="P1459" s="4" t="n">
        <v>1</v>
      </c>
      <c r="Q1459" s="4" t="n">
        <v>601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연기면 눌왕리 569-3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115000</v>
      </c>
      <c r="G1460" s="4" t="n">
        <v>1654</v>
      </c>
      <c r="H1460" s="4" t="n">
        <v>500</v>
      </c>
      <c r="I1460" s="5" t="n">
        <v>230</v>
      </c>
      <c r="J1460" s="5" t="n">
        <v>63.1</v>
      </c>
      <c r="K1460" s="3" t="inlineStr">
        <is>
          <t>연기면 눌왕리 마을 포장도로에 접한 계획관리지역 성장관리계획구역 농지</t>
        </is>
      </c>
      <c r="L1460" s="6">
        <f>HYPERLINK("https://fin.land.naver.com/articles/2653861055", "매물Link")</f>
        <v/>
      </c>
      <c r="M1460" s="6">
        <f>HYPERLINK("https://map.naver.com/p/search/연기면 눌왕리 569-3", "지도Link")</f>
        <v/>
      </c>
      <c r="N1460" s="6">
        <f>HYPERLINK("http://www.eum.go.kr/web/ar/lu/luLandDet.jsp?pnu=3611031023105690003&amp;isNoScr=script&amp;mode=search", "토지이음")</f>
        <v/>
      </c>
      <c r="O1460" s="3" t="inlineStr">
        <is>
          <t>스마일세종</t>
        </is>
      </c>
      <c r="P1460" s="4" t="n">
        <v>1</v>
      </c>
      <c r="Q1460" s="4" t="n">
        <v>1738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눌왕리 622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114000</v>
      </c>
      <c r="G1461" s="4" t="n">
        <v>2516</v>
      </c>
      <c r="H1461" s="4" t="n">
        <v>761</v>
      </c>
      <c r="I1461" s="5" t="n">
        <v>149.8</v>
      </c>
      <c r="J1461" s="5" t="n">
        <v>42.8</v>
      </c>
      <c r="K1461" s="3" t="inlineStr">
        <is>
          <t>관리지역 토지,도로접해 개발가능</t>
        </is>
      </c>
      <c r="L1461" s="6">
        <f>HYPERLINK("https://fin.land.naver.com/articles/2655259175", "매물Link")</f>
        <v/>
      </c>
      <c r="M1461" s="6">
        <f>HYPERLINK("https://map.naver.com/p/search/연기면 눌왕리 622", "지도Link")</f>
        <v/>
      </c>
      <c r="N1461" s="6">
        <f>HYPERLINK("http://www.eum.go.kr/web/ar/lu/luLandDet.jsp?pnu=3611031023106220000&amp;isNoScr=script&amp;mode=search", "토지이음")</f>
        <v/>
      </c>
      <c r="O1461" s="3" t="inlineStr">
        <is>
          <t>세종대박</t>
        </is>
      </c>
      <c r="P1461" s="4" t="n">
        <v>2</v>
      </c>
      <c r="Q1461" s="4" t="n">
        <v>2516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635-2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58000</v>
      </c>
      <c r="G1462" s="4" t="n">
        <v>638</v>
      </c>
      <c r="H1462" s="4" t="n">
        <v>193</v>
      </c>
      <c r="I1462" s="5" t="n">
        <v>300.5</v>
      </c>
      <c r="J1462" s="5" t="n">
        <v>62.5</v>
      </c>
      <c r="K1462" s="3" t="inlineStr">
        <is>
          <t>절충가능한 연기면 눌왕리 마을 포장도로에 접한 계획관리지역 전입니다</t>
        </is>
      </c>
      <c r="L1462" s="6">
        <f>HYPERLINK("https://fin.land.naver.com/articles/2651245980", "매물Link")</f>
        <v/>
      </c>
      <c r="M1462" s="6">
        <f>HYPERLINK("https://map.naver.com/p/search/연기면 눌왕리 635-2", "지도Link")</f>
        <v/>
      </c>
      <c r="N1462" s="6">
        <f>HYPERLINK("http://www.eum.go.kr/web/ar/lu/luLandDet.jsp?pnu=3611031023106350002&amp;isNoScr=script&amp;mode=search",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638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679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100000</v>
      </c>
      <c r="G1463" s="4" t="n">
        <v>1306</v>
      </c>
      <c r="H1463" s="4" t="n">
        <v>395</v>
      </c>
      <c r="I1463" s="5" t="n">
        <v>253.2</v>
      </c>
      <c r="J1463" s="5" t="n">
        <v>91.8</v>
      </c>
      <c r="K1463" s="3" t="inlineStr">
        <is>
          <t>구옥 2채있고 도로접해있고 버스승강장 가깝고 투자가치 좋아요</t>
        </is>
      </c>
      <c r="L1463" s="6">
        <f>HYPERLINK("https://fin.land.naver.com/articles/2652981530", "매물Link")</f>
        <v/>
      </c>
      <c r="M1463" s="6">
        <f>HYPERLINK("https://map.naver.com/p/search/연기면 눌왕리 679", "지도Link")</f>
        <v/>
      </c>
      <c r="N1463" s="6">
        <f>HYPERLINK("http://www.eum.go.kr/web/ar/lu/luLandDet.jsp?pnu=3611031023106790000&amp;isNoScr=script&amp;mode=search", "토지이음")</f>
        <v/>
      </c>
      <c r="O1463" s="3" t="inlineStr">
        <is>
          <t>도안우미린올레</t>
        </is>
      </c>
      <c r="P1463" s="4" t="n">
        <v>1</v>
      </c>
      <c r="Q1463" s="4" t="n">
        <v>1306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680-7</t>
        </is>
      </c>
      <c r="B1464" s="3" t="inlineStr">
        <is>
          <t>계획관리지역</t>
        </is>
      </c>
      <c r="C1464" s="3" t="inlineStr">
        <is>
          <t>목장용지</t>
        </is>
      </c>
      <c r="D1464" s="3" t="inlineStr">
        <is>
          <t>목장용지</t>
        </is>
      </c>
      <c r="E1464" s="3" t="inlineStr">
        <is>
          <t>매매</t>
        </is>
      </c>
      <c r="F1464" s="4" t="n">
        <v>220000</v>
      </c>
      <c r="G1464" s="4" t="n">
        <v>4833</v>
      </c>
      <c r="H1464" s="4" t="n">
        <v>1462</v>
      </c>
      <c r="I1464" s="5" t="n">
        <v>150.5</v>
      </c>
      <c r="J1464" s="5" t="n">
        <v>70.40000000000001</v>
      </c>
      <c r="K1464" s="3" t="inlineStr">
        <is>
          <t>자연 속에서 미래 가치를 담아낼 수 있는 특별한 토지 매물</t>
        </is>
      </c>
      <c r="L1464" s="6">
        <f>HYPERLINK("https://fin.land.naver.com/articles/2654557035", "매물Link")</f>
        <v/>
      </c>
      <c r="M1464" s="6">
        <f>HYPERLINK("https://map.naver.com/p/search/연기면 눌왕리 680-7", "지도Link")</f>
        <v/>
      </c>
      <c r="N1464" s="6">
        <f>HYPERLINK("http://www.eum.go.kr/web/ar/lu/luLandDet.jsp?pnu=3611031023106800007&amp;isNoScr=script&amp;mode=search", "토지이음")</f>
        <v/>
      </c>
      <c r="O1464" s="3" t="inlineStr">
        <is>
          <t>번암주공</t>
        </is>
      </c>
      <c r="P1464" s="4" t="n">
        <v>1</v>
      </c>
      <c r="Q1464" s="4" t="n">
        <v>3171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연기면 눌왕리 산18-1</t>
        </is>
      </c>
      <c r="B1465" s="3" t="inlineStr">
        <is>
          <t>계획관리지역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500000</v>
      </c>
      <c r="G1465" s="4" t="n">
        <v>6942</v>
      </c>
      <c r="H1465" s="4" t="n">
        <v>2100</v>
      </c>
      <c r="I1465" s="5" t="n">
        <v>238.1</v>
      </c>
      <c r="J1465" s="5" t="n">
        <v>20.7</v>
      </c>
      <c r="K1465" s="3" t="inlineStr">
        <is>
          <t>세종시 계획관리지역, 산단 주변 개발호재 가능성</t>
        </is>
      </c>
      <c r="L1465" s="6">
        <f>HYPERLINK("https://fin.land.naver.com/articles/2652527612", "매물Link")</f>
        <v/>
      </c>
      <c r="M1465" s="6">
        <f>HYPERLINK("https://map.naver.com/p/search/연기면 눌왕리 산18-1", "지도Link")</f>
        <v/>
      </c>
      <c r="N1465" s="6">
        <f>HYPERLINK("http://www.eum.go.kr/web/ar/lu/luLandDet.jsp?pnu=3611031023200180001&amp;isNoScr=script&amp;mode=search", "토지이음")</f>
        <v/>
      </c>
      <c r="O1465" s="3" t="inlineStr">
        <is>
          <t>미래</t>
        </is>
      </c>
      <c r="P1465" s="4" t="n">
        <v>1</v>
      </c>
      <c r="Q1465" s="4" t="n">
        <v>5554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눌왕리 산20-1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92000</v>
      </c>
      <c r="G1466" s="4" t="n">
        <v>1515</v>
      </c>
      <c r="H1466" s="4" t="n">
        <v>458</v>
      </c>
      <c r="I1466" s="5" t="n">
        <v>200.9</v>
      </c>
      <c r="J1466" s="5" t="n">
        <v>17.8</v>
      </c>
      <c r="K1466" s="3" t="inlineStr">
        <is>
          <t>투자목적,
국가 산업단지 인근
가격조정 최대한 해 보겠습니다.</t>
        </is>
      </c>
      <c r="L1466" s="6">
        <f>HYPERLINK("https://fin.land.naver.com/articles/2652147047", "매물Link")</f>
        <v/>
      </c>
      <c r="M1466" s="6">
        <f>HYPERLINK("https://map.naver.com/p/search/연기면 눌왕리 산20-1", "지도Link")</f>
        <v/>
      </c>
      <c r="N1466" s="6">
        <f>HYPERLINK("http://www.eum.go.kr/web/ar/lu/luLandDet.jsp?pnu=3611031023200200001&amp;isNoScr=script&amp;mode=search", "토지이음")</f>
        <v/>
      </c>
      <c r="O1466" s="3" t="inlineStr">
        <is>
          <t>해들일번지</t>
        </is>
      </c>
      <c r="P1466" s="4" t="n">
        <v>1</v>
      </c>
      <c r="Q1466" s="4" t="n">
        <v>1515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연기면 눌왕리 산71-1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33000</v>
      </c>
      <c r="G1467" s="4" t="n">
        <v>843</v>
      </c>
      <c r="H1467" s="4" t="n">
        <v>255</v>
      </c>
      <c r="I1467" s="5" t="n">
        <v>129.4</v>
      </c>
      <c r="J1467" s="5" t="n">
        <v>12.3</v>
      </c>
      <c r="K1467" s="3" t="inlineStr">
        <is>
          <t>관리지역 토지매매주택건축,투자 등</t>
        </is>
      </c>
      <c r="L1467" s="6">
        <f>HYPERLINK("https://fin.land.naver.com/articles/2655032784", "매물Link")</f>
        <v/>
      </c>
      <c r="M1467" s="6">
        <f>HYPERLINK("https://map.naver.com/p/search/연기면 눌왕리 산71-1", "지도Link")</f>
        <v/>
      </c>
      <c r="N1467" s="6">
        <f>HYPERLINK("http://www.eum.go.kr/web/ar/lu/luLandDet.jsp?pnu=3611031023200710001&amp;isNoScr=script&amp;mode=search",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843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눌왕리 산78-20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167360</v>
      </c>
      <c r="G1468" s="4" t="n">
        <v>7685</v>
      </c>
      <c r="H1468" s="4" t="n">
        <v>2325</v>
      </c>
      <c r="I1468" s="5" t="n">
        <v>72</v>
      </c>
      <c r="J1468" s="5" t="n">
        <v>9.800000000000001</v>
      </c>
      <c r="K1468" s="3" t="inlineStr">
        <is>
          <t>행복도시 10분거리로 도로에 접한 청정 야산 급매</t>
        </is>
      </c>
      <c r="L1468" s="6">
        <f>HYPERLINK("https://fin.land.naver.com/articles/2655486533", "매물Link")</f>
        <v/>
      </c>
      <c r="M1468" s="6">
        <f>HYPERLINK("https://map.naver.com/p/search/연기면 눌왕리 산78-20", "지도Link")</f>
        <v/>
      </c>
      <c r="N1468" s="6">
        <f>HYPERLINK("http://www.eum.go.kr/web/ar/lu/luLandDet.jsp?pnu=3611031023200780020&amp;isNoScr=script&amp;mode=search", "토지이음")</f>
        <v/>
      </c>
      <c r="O1468" s="3" t="inlineStr">
        <is>
          <t>강문구</t>
        </is>
      </c>
      <c r="P1468" s="4" t="n">
        <v>1</v>
      </c>
      <c r="Q1468" s="4" t="n">
        <v>7160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보통리 12-3</t>
        </is>
      </c>
      <c r="B1469" s="3" t="inlineStr">
        <is>
          <t>계획관리지역</t>
        </is>
      </c>
      <c r="C1469" s="3" t="inlineStr">
        <is>
          <t>목장용지</t>
        </is>
      </c>
      <c r="D1469" s="3" t="inlineStr">
        <is>
          <t>목장용지</t>
        </is>
      </c>
      <c r="E1469" s="3" t="inlineStr">
        <is>
          <t>매매</t>
        </is>
      </c>
      <c r="F1469" s="4" t="n">
        <v>27000</v>
      </c>
      <c r="G1469" s="4" t="n">
        <v>293</v>
      </c>
      <c r="H1469" s="4" t="n">
        <v>89</v>
      </c>
      <c r="I1469" s="5" t="n">
        <v>303.4</v>
      </c>
      <c r="J1469" s="5" t="n">
        <v>73</v>
      </c>
      <c r="K1469" s="3" t="inlineStr">
        <is>
          <t>도로접한 계획관리 토지 매매</t>
        </is>
      </c>
      <c r="L1469" s="6">
        <f>HYPERLINK("https://fin.land.naver.com/articles/2655169341", "매물Link")</f>
        <v/>
      </c>
      <c r="M1469" s="6">
        <f>HYPERLINK("https://map.naver.com/p/search/연기면 보통리 12-3", "지도Link")</f>
        <v/>
      </c>
      <c r="N1469" s="6">
        <f>HYPERLINK("http://www.eum.go.kr/web/ar/lu/luLandDet.jsp?pnu=3611031022100120003&amp;isNoScr=script&amp;mode=search",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293</v>
      </c>
      <c r="R1469" s="3" t="inlineStr">
        <is>
          <t>지정되지않음</t>
        </is>
      </c>
      <c r="S1469" s="3" t="inlineStr">
        <is>
          <t>전기타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385-10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350000</v>
      </c>
      <c r="G1470" s="4" t="n">
        <v>975</v>
      </c>
      <c r="H1470" s="4" t="n">
        <v>295</v>
      </c>
      <c r="I1470" s="5" t="n">
        <v>1186.4</v>
      </c>
      <c r="J1470" s="5" t="n">
        <v>330</v>
      </c>
      <c r="K1470" s="3" t="inlineStr">
        <is>
          <t>nan</t>
        </is>
      </c>
      <c r="L1470" s="6">
        <f>HYPERLINK("https://fin.land.naver.com/articles/2650867711", "매물Link")</f>
        <v/>
      </c>
      <c r="M1470" s="6">
        <f>HYPERLINK("https://map.naver.com/p/search/연기면 보통리 385-10", "지도Link")</f>
        <v/>
      </c>
      <c r="N1470" s="6">
        <f>HYPERLINK("http://www.eum.go.kr/web/ar/lu/luLandDet.jsp?pnu=3611031022103850010&amp;isNoScr=script&amp;mode=search", "토지이음")</f>
        <v/>
      </c>
      <c r="O1470" s="3" t="inlineStr">
        <is>
          <t>신하나로</t>
        </is>
      </c>
      <c r="P1470" s="4" t="n">
        <v>1</v>
      </c>
      <c r="Q1470" s="4" t="n">
        <v>586.6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소로각지</t>
        </is>
      </c>
    </row>
    <row r="1471">
      <c r="A1471" s="3" t="inlineStr">
        <is>
          <t>연기면 보통리 388-26</t>
        </is>
      </c>
      <c r="B1471" s="3" t="inlineStr">
        <is>
          <t>계획관리지역</t>
        </is>
      </c>
      <c r="C1471" s="3" t="inlineStr">
        <is>
          <t>주차장</t>
        </is>
      </c>
      <c r="D1471" s="3" t="inlineStr">
        <is>
          <t>주차장</t>
        </is>
      </c>
      <c r="E1471" s="3" t="inlineStr">
        <is>
          <t>매매</t>
        </is>
      </c>
      <c r="F1471" s="4" t="n">
        <v>118000</v>
      </c>
      <c r="G1471" s="4" t="n">
        <v>640</v>
      </c>
      <c r="H1471" s="4" t="n">
        <v>194</v>
      </c>
      <c r="I1471" s="5" t="n">
        <v>608.2</v>
      </c>
      <c r="J1471" s="5" t="n">
        <v>137.6</v>
      </c>
      <c r="K1471" s="3" t="inlineStr">
        <is>
          <t>국가산업단지 인근 계획관리토지현주차장</t>
        </is>
      </c>
      <c r="L1471" s="6">
        <f>HYPERLINK("https://fin.land.naver.com/articles/2650856640", "매물Link")</f>
        <v/>
      </c>
      <c r="M1471" s="6">
        <f>HYPERLINK("https://map.naver.com/p/search/연기면 보통리 388-26", "지도Link")</f>
        <v/>
      </c>
      <c r="N1471" s="6">
        <f>HYPERLINK("http://www.eum.go.kr/web/ar/lu/luLandDet.jsp?pnu=3611031022103880026&amp;isNoScr=script&amp;mode=search", "토지이음")</f>
        <v/>
      </c>
      <c r="O1471" s="3" t="inlineStr">
        <is>
          <t>세종대박</t>
        </is>
      </c>
      <c r="P1471" s="4" t="n">
        <v>1</v>
      </c>
      <c r="Q1471" s="4" t="n">
        <v>640.3</v>
      </c>
      <c r="R1471" s="3" t="inlineStr">
        <is>
          <t>지정되지않음</t>
        </is>
      </c>
      <c r="S1471" s="3" t="inlineStr">
        <is>
          <t>주차장등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연기면 보통리 405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129400</v>
      </c>
      <c r="G1472" s="4" t="n">
        <v>2139</v>
      </c>
      <c r="H1472" s="4" t="n">
        <v>647</v>
      </c>
      <c r="I1472" s="5" t="n">
        <v>200</v>
      </c>
      <c r="J1472" s="5" t="n">
        <v>53.5</v>
      </c>
      <c r="K1472" s="3" t="inlineStr">
        <is>
          <t>6생활권 인근 보통리 도로접한 농지 매매. 농림지역.</t>
        </is>
      </c>
      <c r="L1472" s="6">
        <f>HYPERLINK("https://fin.land.naver.com/articles/2653905240", "매물Link")</f>
        <v/>
      </c>
      <c r="M1472" s="6">
        <f>HYPERLINK("https://map.naver.com/p/search/연기면 보통리 405", "지도Link")</f>
        <v/>
      </c>
      <c r="N1472" s="6">
        <f>HYPERLINK("http://www.eum.go.kr/web/ar/lu/luLandDet.jsp?pnu=3611031022104050000&amp;isNoScr=script&amp;mode=search", "토지이음")</f>
        <v/>
      </c>
      <c r="O1472" s="3" t="inlineStr">
        <is>
          <t>세종대장</t>
        </is>
      </c>
      <c r="P1472" s="4" t="n">
        <v>1</v>
      </c>
      <c r="Q1472" s="4" t="n">
        <v>2139.9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보통리 406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270000</v>
      </c>
      <c r="G1473" s="4" t="n">
        <v>3568</v>
      </c>
      <c r="H1473" s="4" t="n">
        <v>1079</v>
      </c>
      <c r="I1473" s="5" t="n">
        <v>250.2</v>
      </c>
      <c r="J1473" s="5" t="n">
        <v>53.5</v>
      </c>
      <c r="K1473" s="3" t="inlineStr">
        <is>
          <t>도로접한 농지 매매</t>
        </is>
      </c>
      <c r="L1473" s="6">
        <f>HYPERLINK("https://fin.land.naver.com/articles/2651403831", "매물Link")</f>
        <v/>
      </c>
      <c r="M1473" s="6">
        <f>HYPERLINK("https://map.naver.com/p/search/연기면 보통리 406", "지도Link")</f>
        <v/>
      </c>
      <c r="N1473" s="6">
        <f>HYPERLINK("http://www.eum.go.kr/web/ar/lu/luLandDet.jsp?pnu=3611031022104060000&amp;isNoScr=script&amp;mode=search", "토지이음")</f>
        <v/>
      </c>
      <c r="O1473" s="3" t="inlineStr">
        <is>
          <t>세종대박</t>
        </is>
      </c>
      <c r="P1473" s="4" t="n">
        <v>1</v>
      </c>
      <c r="Q1473" s="4" t="n">
        <v>3568.4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세로한면(불)</t>
        </is>
      </c>
    </row>
    <row r="1474">
      <c r="A1474" s="3" t="inlineStr">
        <is>
          <t>연기면 보통리 412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142000</v>
      </c>
      <c r="G1474" s="4" t="n">
        <v>2618</v>
      </c>
      <c r="H1474" s="4" t="n">
        <v>792</v>
      </c>
      <c r="I1474" s="5" t="n">
        <v>179.3</v>
      </c>
      <c r="J1474" s="5" t="n">
        <v>56.9</v>
      </c>
      <c r="K1474" s="3" t="inlineStr">
        <is>
          <t>세종행복도시 6생활권 접한 토지</t>
        </is>
      </c>
      <c r="L1474" s="6">
        <f>HYPERLINK("https://fin.land.naver.com/articles/2650859604", "매물Link")</f>
        <v/>
      </c>
      <c r="M1474" s="6">
        <f>HYPERLINK("https://map.naver.com/p/search/연기면 보통리 412", "지도Link")</f>
        <v/>
      </c>
      <c r="N1474" s="6">
        <f>HYPERLINK("http://www.eum.go.kr/web/ar/lu/luLandDet.jsp?pnu=3611031022104120000&amp;isNoScr=script&amp;mode=search",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2618.1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연기면 수산리 103-3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200000</v>
      </c>
      <c r="G1475" s="4" t="n">
        <v>1339</v>
      </c>
      <c r="H1475" s="4" t="n">
        <v>405</v>
      </c>
      <c r="I1475" s="5" t="n">
        <v>493.8</v>
      </c>
      <c r="J1475" s="5" t="n">
        <v>56.4</v>
      </c>
      <c r="K1475" s="3" t="inlineStr">
        <is>
          <t>추천. 세종인근 대형식당자리</t>
        </is>
      </c>
      <c r="L1475" s="6">
        <f>HYPERLINK("https://fin.land.naver.com/articles/2651924335", "매물Link")</f>
        <v/>
      </c>
      <c r="M1475" s="6">
        <f>HYPERLINK("https://map.naver.com/p/search/연기면 수산리 103-3", "지도Link")</f>
        <v/>
      </c>
      <c r="N1475" s="6">
        <f>HYPERLINK("http://www.eum.go.kr/web/ar/lu/luLandDet.jsp?pnu=3611031024101030003&amp;isNoScr=script&amp;mode=search", "토지이음")</f>
        <v/>
      </c>
      <c r="O1475" s="3" t="inlineStr">
        <is>
          <t>강아지풀</t>
        </is>
      </c>
      <c r="P1475" s="4" t="n">
        <v>1</v>
      </c>
      <c r="Q1475" s="4" t="n">
        <v>1339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11</t>
        </is>
      </c>
      <c r="B1476" s="3" t="inlineStr">
        <is>
          <t>보전관리지역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59000</v>
      </c>
      <c r="G1476" s="4" t="n">
        <v>2228</v>
      </c>
      <c r="H1476" s="4" t="n">
        <v>674</v>
      </c>
      <c r="I1476" s="5" t="n">
        <v>87.5</v>
      </c>
      <c r="J1476" s="5" t="n">
        <v>32.6</v>
      </c>
      <c r="K1476" s="3" t="inlineStr">
        <is>
          <t>볕이 따스한 터를 찾으세요</t>
        </is>
      </c>
      <c r="L1476" s="6">
        <f>HYPERLINK("https://fin.land.naver.com/articles/2651968107", "매물Link")</f>
        <v/>
      </c>
      <c r="M1476" s="6">
        <f>HYPERLINK("https://map.naver.com/p/search/연기면 수산리 11", "지도Link")</f>
        <v/>
      </c>
      <c r="N1476" s="6">
        <f>HYPERLINK("http://www.eum.go.kr/web/ar/lu/luLandDet.jsp?pnu=3611031024100110000&amp;isNoScr=script&amp;mode=search", "토지이음")</f>
        <v/>
      </c>
      <c r="O1476" s="3" t="inlineStr">
        <is>
          <t>용궁</t>
        </is>
      </c>
      <c r="P1476" s="4" t="n">
        <v>1</v>
      </c>
      <c r="Q1476" s="4" t="n">
        <v>2228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세로한면(불)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행복도시에서 가까운 토지 대토 투자적합 연서산단에서도 가까움</t>
        </is>
      </c>
      <c r="L1477" s="6">
        <f>HYPERLINK("https://fin.land.naver.com/articles/2652664106",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고운동리치세종</t>
        </is>
      </c>
      <c r="P1477" s="4" t="n">
        <v>3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119</t>
        </is>
      </c>
      <c r="B1478" s="3" t="inlineStr">
        <is>
          <t>생산관리지역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179800</v>
      </c>
      <c r="G1478" s="4" t="n">
        <v>1918</v>
      </c>
      <c r="H1478" s="4" t="n">
        <v>580</v>
      </c>
      <c r="I1478" s="5" t="n">
        <v>310</v>
      </c>
      <c r="J1478" s="5" t="n">
        <v>58.2</v>
      </c>
      <c r="K1478" s="3" t="inlineStr">
        <is>
          <t>수산3거리,2차선변 입지좋은 토지 매매.</t>
        </is>
      </c>
      <c r="L1478" s="6">
        <f>HYPERLINK("https://fin.land.naver.com/articles/2651374838", "매물Link")</f>
        <v/>
      </c>
      <c r="M1478" s="6">
        <f>HYPERLINK("https://map.naver.com/p/search/연기면 수산리 119", "지도Link")</f>
        <v/>
      </c>
      <c r="N1478" s="6">
        <f>HYPERLINK("http://www.eum.go.kr/web/ar/lu/luLandDet.jsp?pnu=3611031024101190000&amp;isNoScr=script&amp;mode=search", "토지이음")</f>
        <v/>
      </c>
      <c r="O1478" s="3" t="inlineStr">
        <is>
          <t>세종강산</t>
        </is>
      </c>
      <c r="P1478" s="4" t="n">
        <v>1</v>
      </c>
      <c r="Q1478" s="4" t="n">
        <v>1010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연기면 수산리 123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182000</v>
      </c>
      <c r="G1479" s="4" t="n">
        <v>1716</v>
      </c>
      <c r="H1479" s="4" t="n">
        <v>519</v>
      </c>
      <c r="I1479" s="5" t="n">
        <v>350.7</v>
      </c>
      <c r="J1479" s="5" t="n">
        <v>66</v>
      </c>
      <c r="K1479" s="3" t="inlineStr">
        <is>
          <t>수산 IC 근접 계획관리 지역 매매</t>
        </is>
      </c>
      <c r="L1479" s="6">
        <f>HYPERLINK("https://fin.land.naver.com/articles/2652621764", "매물Link")</f>
        <v/>
      </c>
      <c r="M1479" s="6">
        <f>HYPERLINK("https://map.naver.com/p/search/연기면 수산리 123", "지도Link")</f>
        <v/>
      </c>
      <c r="N1479" s="6">
        <f>HYPERLINK("http://www.eum.go.kr/web/ar/lu/luLandDet.jsp?pnu=3611031024101230000&amp;isNoScr=script&amp;mode=search", "토지이음")</f>
        <v/>
      </c>
      <c r="O1479" s="3" t="inlineStr">
        <is>
          <t>강나루</t>
        </is>
      </c>
      <c r="P1479" s="4" t="n">
        <v>1</v>
      </c>
      <c r="Q1479" s="4" t="n">
        <v>1716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수산리 130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65000</v>
      </c>
      <c r="G1480" s="4" t="n">
        <v>534</v>
      </c>
      <c r="H1480" s="4" t="n">
        <v>162</v>
      </c>
      <c r="I1480" s="5" t="n">
        <v>401.2</v>
      </c>
      <c r="J1480" s="5" t="n">
        <v>68</v>
      </c>
      <c r="K1480" s="3" t="inlineStr">
        <is>
          <t>수산교차로 지가상승 기대되는 토지</t>
        </is>
      </c>
      <c r="L1480" s="6">
        <f>HYPERLINK("https://fin.land.naver.com/articles/2655032822", "매물Link")</f>
        <v/>
      </c>
      <c r="M1480" s="6">
        <f>HYPERLINK("https://map.naver.com/p/search/연기면 수산리 130", "지도Link")</f>
        <v/>
      </c>
      <c r="N1480" s="6">
        <f>HYPERLINK("http://www.eum.go.kr/web/ar/lu/luLandDet.jsp?pnu=3611031024101300000&amp;isNoScr=script&amp;mode=search",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287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수산리 137-2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58200</v>
      </c>
      <c r="G1481" s="4" t="n">
        <v>1283</v>
      </c>
      <c r="H1481" s="4" t="n">
        <v>388</v>
      </c>
      <c r="I1481" s="5" t="n">
        <v>150</v>
      </c>
      <c r="J1481" s="5" t="n">
        <v>55.1</v>
      </c>
      <c r="K1481" s="3" t="inlineStr">
        <is>
          <t>세종 행복도시 인접 연기면 수산리 계획관리 토지 매매 수산교차로</t>
        </is>
      </c>
      <c r="L1481" s="6">
        <f>HYPERLINK("https://fin.land.naver.com/articles/2653008031", "매물Link")</f>
        <v/>
      </c>
      <c r="M1481" s="6">
        <f>HYPERLINK("https://map.naver.com/p/search/연기면 수산리 137-2", "지도Link")</f>
        <v/>
      </c>
      <c r="N1481" s="6">
        <f>HYPERLINK("http://www.eum.go.kr/web/ar/lu/luLandDet.jsp?pnu=3611031024101370002&amp;isNoScr=script&amp;mode=search", "토지이음")</f>
        <v/>
      </c>
      <c r="O1481" s="3" t="inlineStr">
        <is>
          <t>엄지척</t>
        </is>
      </c>
      <c r="P1481" s="4" t="n">
        <v>1</v>
      </c>
      <c r="Q1481" s="4" t="n">
        <v>1283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연기면 수산리 17</t>
        </is>
      </c>
      <c r="B1482" s="3" t="inlineStr">
        <is>
          <t>보전관리지역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14000</v>
      </c>
      <c r="G1482" s="4" t="n">
        <v>777</v>
      </c>
      <c r="H1482" s="4" t="n">
        <v>235</v>
      </c>
      <c r="I1482" s="5" t="n">
        <v>59.6</v>
      </c>
      <c r="J1482" s="5" t="n">
        <v>27.7</v>
      </c>
      <c r="K1482" s="3" t="inlineStr">
        <is>
          <t>수산리 소액 투자용</t>
        </is>
      </c>
      <c r="L1482" s="6">
        <f>HYPERLINK("https://fin.land.naver.com/articles/2653157494", "매물Link")</f>
        <v/>
      </c>
      <c r="M1482" s="6">
        <f>HYPERLINK("https://map.naver.com/p/search/연기면 수산리 17", "지도Link")</f>
        <v/>
      </c>
      <c r="N1482" s="6">
        <f>HYPERLINK("http://www.eum.go.kr/web/ar/lu/luLandDet.jsp?pnu=3611031024100170000&amp;isNoScr=script&amp;mode=search", "토지이음")</f>
        <v/>
      </c>
      <c r="O1482" s="3" t="inlineStr">
        <is>
          <t>KB세종</t>
        </is>
      </c>
      <c r="P1482" s="4" t="n">
        <v>1</v>
      </c>
      <c r="Q1482" s="4" t="n">
        <v>777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급경사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193-4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35000</v>
      </c>
      <c r="G1483" s="4" t="n">
        <v>793</v>
      </c>
      <c r="H1483" s="4" t="n">
        <v>240</v>
      </c>
      <c r="I1483" s="5" t="n">
        <v>145.8</v>
      </c>
      <c r="J1483" s="5" t="n">
        <v>36.6</v>
      </c>
      <c r="K1483" s="3" t="inlineStr">
        <is>
          <t>세종신도시 인근 소액 투자용 토지</t>
        </is>
      </c>
      <c r="L1483" s="6">
        <f>HYPERLINK("https://fin.land.naver.com/articles/2653284115", "매물Link")</f>
        <v/>
      </c>
      <c r="M1483" s="6">
        <f>HYPERLINK("https://map.naver.com/p/search/연기면 수산리 193-4", "지도Link")</f>
        <v/>
      </c>
      <c r="N1483" s="6">
        <f>HYPERLINK("http://www.eum.go.kr/web/ar/lu/luLandDet.jsp?pnu=3611031024101930004&amp;isNoScr=script&amp;mode=search", "토지이음")</f>
        <v/>
      </c>
      <c r="O1483" s="3" t="inlineStr">
        <is>
          <t>세종공감</t>
        </is>
      </c>
      <c r="P1483" s="4" t="n">
        <v>1</v>
      </c>
      <c r="Q1483" s="4" t="n">
        <v>793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수산리 194-1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85000</v>
      </c>
      <c r="G1484" s="4" t="n">
        <v>2026</v>
      </c>
      <c r="H1484" s="4" t="n">
        <v>613</v>
      </c>
      <c r="I1484" s="5" t="n">
        <v>138.7</v>
      </c>
      <c r="J1484" s="5" t="n">
        <v>36.6</v>
      </c>
      <c r="K1484" s="3" t="inlineStr">
        <is>
          <t>농림지역의 답으로 지목이 되어있지만 한달간의 복토작업으로 현재 전으로사용</t>
        </is>
      </c>
      <c r="L1484" s="6">
        <f>HYPERLINK("https://fin.land.naver.com/articles/2651925441", "매물Link")</f>
        <v/>
      </c>
      <c r="M1484" s="6">
        <f>HYPERLINK("https://map.naver.com/p/search/연기면 수산리 194-1", "지도Link")</f>
        <v/>
      </c>
      <c r="N1484" s="6">
        <f>HYPERLINK("http://www.eum.go.kr/web/ar/lu/luLandDet.jsp?pnu=3611031024101940001&amp;isNoScr=script&amp;mode=search", "토지이음")</f>
        <v/>
      </c>
      <c r="O1484" s="3" t="inlineStr">
        <is>
          <t>둔곡타워</t>
        </is>
      </c>
      <c r="P1484" s="4" t="n">
        <v>1</v>
      </c>
      <c r="Q1484" s="4" t="n">
        <v>2026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203</t>
        </is>
      </c>
      <c r="B1485" s="3" t="inlineStr">
        <is>
          <t>농림지역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180000</v>
      </c>
      <c r="G1485" s="4" t="n">
        <v>3838</v>
      </c>
      <c r="H1485" s="4" t="n">
        <v>1161</v>
      </c>
      <c r="I1485" s="5" t="n">
        <v>155</v>
      </c>
      <c r="J1485" s="5" t="n">
        <v>43.3</v>
      </c>
      <c r="K1485" s="3" t="inlineStr">
        <is>
          <t>원주민 장기보유. 도로 잘 접한 투자 유망. 청사5K,국가산단2.5K</t>
        </is>
      </c>
      <c r="L1485" s="6">
        <f>HYPERLINK("https://fin.land.naver.com/articles/2652538136", "매물Link")</f>
        <v/>
      </c>
      <c r="M1485" s="6">
        <f>HYPERLINK("https://map.naver.com/p/search/연기면 수산리 203", "지도Link")</f>
        <v/>
      </c>
      <c r="N1485" s="6">
        <f>HYPERLINK("http://www.eum.go.kr/web/ar/lu/luLandDet.jsp?pnu=3611031024102030000&amp;isNoScr=script&amp;mode=search", "토지이음")</f>
        <v/>
      </c>
      <c r="O1485" s="3" t="inlineStr">
        <is>
          <t>세종소담114</t>
        </is>
      </c>
      <c r="P1485" s="4" t="n">
        <v>2</v>
      </c>
      <c r="Q1485" s="4" t="n">
        <v>3838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농림지역.보전관리지역.세종신도시인근투자용.세종정부청사5.5키로인접.조정가</t>
        </is>
      </c>
      <c r="L1486" s="6">
        <f>HYPERLINK("https://fin.land.naver.com/articles/2656182987",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돈방석</t>
        </is>
      </c>
      <c r="P1486" s="4" t="n">
        <v>3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230-1</t>
        </is>
      </c>
      <c r="B1487" s="3" t="inlineStr">
        <is>
          <t>생산관리지역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826</v>
      </c>
      <c r="H1487" s="4" t="n">
        <v>250</v>
      </c>
      <c r="I1487" s="5" t="n">
        <v>400</v>
      </c>
      <c r="J1487" s="5" t="n">
        <v>97.8</v>
      </c>
      <c r="K1487" s="3" t="inlineStr">
        <is>
          <t>O급매O단독주택매매   정안IC O전원주택조성완료 보전관리</t>
        </is>
      </c>
      <c r="L1487" s="6">
        <f>HYPERLINK("https://fin.land.naver.com/articles/2656203517", "매물Link")</f>
        <v/>
      </c>
      <c r="M1487" s="6">
        <f>HYPERLINK("https://map.naver.com/p/search/연기면 수산리 230-1", "지도Link")</f>
        <v/>
      </c>
      <c r="N1487" s="6">
        <f>HYPERLINK("http://www.eum.go.kr/web/ar/lu/luLandDet.jsp?pnu=3611031024102300001&amp;isNoScr=script&amp;mode=search", "토지이음")</f>
        <v/>
      </c>
      <c r="O1487" s="3" t="inlineStr">
        <is>
          <t>공간</t>
        </is>
      </c>
      <c r="P1487" s="4" t="n">
        <v>1</v>
      </c>
      <c r="Q1487" s="4" t="n">
        <v>999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세로각지(가)</t>
        </is>
      </c>
    </row>
    <row r="1488">
      <c r="A1488" s="3" t="inlineStr">
        <is>
          <t>연기면 수산리 241-10</t>
        </is>
      </c>
      <c r="B1488" s="3" t="inlineStr">
        <is>
          <t>보전관리지역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44000</v>
      </c>
      <c r="G1488" s="4" t="n">
        <v>582</v>
      </c>
      <c r="H1488" s="4" t="n">
        <v>176</v>
      </c>
      <c r="I1488" s="5" t="n">
        <v>250</v>
      </c>
      <c r="J1488" s="5" t="n">
        <v>82.2</v>
      </c>
      <c r="K1488" s="3" t="inlineStr">
        <is>
          <t>연기면 수산리에 있는 전원주택을 지을수 있는 택지개발한 임야입니다</t>
        </is>
      </c>
      <c r="L1488" s="6">
        <f>HYPERLINK("https://fin.land.naver.com/articles/2656047662", "매물Link")</f>
        <v/>
      </c>
      <c r="M1488" s="6">
        <f>HYPERLINK("https://map.naver.com/p/search/연기면 수산리 241-10", "지도Link")</f>
        <v/>
      </c>
      <c r="N1488" s="6">
        <f>HYPERLINK("http://www.eum.go.kr/web/ar/lu/luLandDet.jsp?pnu=3611031024102410010&amp;isNoScr=script&amp;mode=search", "토지이음")</f>
        <v/>
      </c>
      <c r="O1488" s="3" t="inlineStr">
        <is>
          <t>스마일세종</t>
        </is>
      </c>
      <c r="P1488" s="4" t="n">
        <v>1</v>
      </c>
      <c r="Q1488" s="4" t="n">
        <v>512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연기면 수산리 293-2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105000</v>
      </c>
      <c r="G1489" s="4" t="n">
        <v>4043</v>
      </c>
      <c r="H1489" s="4" t="n">
        <v>1223</v>
      </c>
      <c r="I1489" s="5" t="n">
        <v>85.90000000000001</v>
      </c>
      <c r="J1489" s="5" t="n">
        <v>30.6</v>
      </c>
      <c r="K1489" s="3" t="inlineStr">
        <is>
          <t>연기면 수산리 급매, 차량진입도로 유</t>
        </is>
      </c>
      <c r="L1489" s="6">
        <f>HYPERLINK("https://fin.land.naver.com/articles/2653542458", "매물Link")</f>
        <v/>
      </c>
      <c r="M1489" s="6">
        <f>HYPERLINK("https://map.naver.com/p/search/연기면 수산리 293-2", "지도Link")</f>
        <v/>
      </c>
      <c r="N1489" s="6">
        <f>HYPERLINK("http://www.eum.go.kr/web/ar/lu/luLandDet.jsp?pnu=3611031024102930002&amp;isNoScr=script&amp;mode=search", "토지이음")</f>
        <v/>
      </c>
      <c r="O1489" s="3" t="inlineStr">
        <is>
          <t>올바른</t>
        </is>
      </c>
      <c r="P1489" s="4" t="n">
        <v>1</v>
      </c>
      <c r="Q1489" s="4" t="n">
        <v>3147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연기면 수산리 30-1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56000</v>
      </c>
      <c r="G1490" s="4" t="n">
        <v>913</v>
      </c>
      <c r="H1490" s="4" t="n">
        <v>276</v>
      </c>
      <c r="I1490" s="5" t="n">
        <v>202.9</v>
      </c>
      <c r="J1490" s="5" t="n">
        <v>62.9</v>
      </c>
      <c r="K1490" s="3" t="inlineStr">
        <is>
          <t>계획관리지역</t>
        </is>
      </c>
      <c r="L1490" s="6">
        <f>HYPERLINK("https://fin.land.naver.com/articles/2653939899", "매물Link")</f>
        <v/>
      </c>
      <c r="M1490" s="6">
        <f>HYPERLINK("https://map.naver.com/p/search/연기면 수산리 30-1", "지도Link")</f>
        <v/>
      </c>
      <c r="N1490" s="6">
        <f>HYPERLINK("http://www.eum.go.kr/web/ar/lu/luLandDet.jsp?pnu=3611031024100300001&amp;isNoScr=script&amp;mode=search", "토지이음")</f>
        <v/>
      </c>
      <c r="O1490" s="3" t="inlineStr">
        <is>
          <t>로데오상가</t>
        </is>
      </c>
      <c r="P1490" s="4" t="n">
        <v>1</v>
      </c>
      <c r="Q1490" s="4" t="n">
        <v>913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정방형</t>
        </is>
      </c>
      <c r="V1490" s="3" t="inlineStr">
        <is>
          <t>세로한면(가)</t>
        </is>
      </c>
    </row>
    <row r="1491">
      <c r="A1491" s="3" t="inlineStr">
        <is>
          <t>연기면 수산리 404-1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54000</v>
      </c>
      <c r="G1491" s="4" t="n">
        <v>2231</v>
      </c>
      <c r="H1491" s="4" t="n">
        <v>675</v>
      </c>
      <c r="I1491" s="5" t="n">
        <v>80</v>
      </c>
      <c r="J1491" s="5" t="n">
        <v>60.5</v>
      </c>
      <c r="K1491" s="3" t="inlineStr">
        <is>
          <t>투자용추천,국가산단주변지역,6생활권과인접지역</t>
        </is>
      </c>
      <c r="L1491" s="6">
        <f>HYPERLINK("https://fin.land.naver.com/articles/2652354263", "매물Link")</f>
        <v/>
      </c>
      <c r="M1491" s="6">
        <f>HYPERLINK("https://map.naver.com/p/search/연기면 수산리 404-1", "지도Link")</f>
        <v/>
      </c>
      <c r="N1491" s="6">
        <f>HYPERLINK("http://www.eum.go.kr/web/ar/lu/luLandDet.jsp?pnu=3611031024104040001&amp;isNoScr=script&amp;mode=search", "토지이음")</f>
        <v/>
      </c>
      <c r="O1491" s="3" t="inlineStr">
        <is>
          <t>따뜻한</t>
        </is>
      </c>
      <c r="P1491" s="4" t="n">
        <v>1</v>
      </c>
      <c r="Q1491" s="4" t="n">
        <v>2231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수산리 442-2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52500</v>
      </c>
      <c r="G1492" s="4" t="n">
        <v>1158</v>
      </c>
      <c r="H1492" s="4" t="n">
        <v>350</v>
      </c>
      <c r="I1492" s="5" t="n">
        <v>150</v>
      </c>
      <c r="J1492" s="5" t="n">
        <v>48.3</v>
      </c>
      <c r="K1492" s="3" t="inlineStr">
        <is>
          <t>nan</t>
        </is>
      </c>
      <c r="L1492" s="6">
        <f>HYPERLINK("https://fin.land.naver.com/articles/2651744333", "매물Link")</f>
        <v/>
      </c>
      <c r="M1492" s="6">
        <f>HYPERLINK("https://map.naver.com/p/search/연기면 수산리 442-2", "지도Link")</f>
        <v/>
      </c>
      <c r="N1492" s="6">
        <f>HYPERLINK("http://www.eum.go.kr/web/ar/lu/luLandDet.jsp?pnu=3611031024104420002&amp;isNoScr=script&amp;mode=search", "토지이음")</f>
        <v/>
      </c>
      <c r="O1492" s="3" t="inlineStr">
        <is>
          <t>세종</t>
        </is>
      </c>
      <c r="P1492" s="4" t="n">
        <v>1</v>
      </c>
      <c r="Q1492" s="4" t="n">
        <v>1158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수산리 464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47000</v>
      </c>
      <c r="G1493" s="4" t="n">
        <v>706</v>
      </c>
      <c r="H1493" s="4" t="n">
        <v>214</v>
      </c>
      <c r="I1493" s="5" t="n">
        <v>219.6</v>
      </c>
      <c r="J1493" s="5" t="n">
        <v>60.6</v>
      </c>
      <c r="K1493" s="3" t="inlineStr">
        <is>
          <t>세종시 수산교차로 인근지역</t>
        </is>
      </c>
      <c r="L1493" s="6">
        <f>HYPERLINK("https://fin.land.naver.com/articles/2652502211", "매물Link")</f>
        <v/>
      </c>
      <c r="M1493" s="6">
        <f>HYPERLINK("https://map.naver.com/p/search/연기면 수산리 464", "지도Link")</f>
        <v/>
      </c>
      <c r="N1493" s="6">
        <f>HYPERLINK("http://www.eum.go.kr/web/ar/lu/luLandDet.jsp?pnu=3611031024104640000&amp;isNoScr=script&amp;mode=search", "토지이음")</f>
        <v/>
      </c>
      <c r="O1493" s="3" t="inlineStr">
        <is>
          <t>동원</t>
        </is>
      </c>
      <c r="P1493" s="4" t="n">
        <v>1</v>
      </c>
      <c r="Q1493" s="4" t="n">
        <v>706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56700</v>
      </c>
      <c r="G1494" s="4" t="n">
        <v>750</v>
      </c>
      <c r="H1494" s="4" t="n">
        <v>227</v>
      </c>
      <c r="I1494" s="5" t="n">
        <v>249.8</v>
      </c>
      <c r="J1494" s="5" t="n">
        <v>54.8</v>
      </c>
      <c r="K1494" s="3" t="inlineStr">
        <is>
          <t>계획관리지역, 세종 해밀동에서 5분거리, 서울 세종 고속도로 최대수혜지</t>
        </is>
      </c>
      <c r="L1494" s="6">
        <f>HYPERLINK("https://fin.land.naver.com/articles/2652330643",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다정센텀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503-1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161000</v>
      </c>
      <c r="G1495" s="4" t="n">
        <v>1517</v>
      </c>
      <c r="H1495" s="4" t="n">
        <v>459</v>
      </c>
      <c r="I1495" s="5" t="n">
        <v>350.8</v>
      </c>
      <c r="J1495" s="5" t="n">
        <v>54.8</v>
      </c>
      <c r="K1495" s="3" t="inlineStr">
        <is>
          <t>수산리 도로접한 계획관리 토지 급매</t>
        </is>
      </c>
      <c r="L1495" s="6">
        <f>HYPERLINK("https://fin.land.naver.com/articles/2653598291", "매물Link")</f>
        <v/>
      </c>
      <c r="M1495" s="6">
        <f>HYPERLINK("https://map.naver.com/p/search/연기면 수산리 503-1", "지도Link")</f>
        <v/>
      </c>
      <c r="N1495" s="6">
        <f>HYPERLINK("http://www.eum.go.kr/web/ar/lu/luLandDet.jsp?pnu=3611031024105030001&amp;isNoScr=script&amp;mode=search", "토지이음")</f>
        <v/>
      </c>
      <c r="O1495" s="3" t="inlineStr">
        <is>
          <t>한화타운</t>
        </is>
      </c>
      <c r="P1495" s="4" t="n">
        <v>1</v>
      </c>
      <c r="Q1495" s="4" t="n">
        <v>750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767</v>
      </c>
      <c r="H1496" s="4" t="n">
        <v>232</v>
      </c>
      <c r="I1496" s="5" t="n">
        <v>353.4</v>
      </c>
      <c r="J1496" s="5" t="n">
        <v>52.2</v>
      </c>
      <c r="K1496" s="3" t="inlineStr">
        <is>
          <t>Click 수산교차로 인근 계획관리지역 Click</t>
        </is>
      </c>
      <c r="L1496" s="6">
        <f>HYPERLINK("https://fin.land.naver.com/articles/2651434324",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해뜰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58000</v>
      </c>
      <c r="G1497" s="4" t="n">
        <v>767</v>
      </c>
      <c r="H1497" s="4" t="n">
        <v>232</v>
      </c>
      <c r="I1497" s="5" t="n">
        <v>250</v>
      </c>
      <c r="J1497" s="5" t="n">
        <v>52.2</v>
      </c>
      <c r="K1497" s="3" t="inlineStr">
        <is>
          <t>세종 해밀동과 5분거리, 계획관리지역, 서울세종 고속도로 최대수혜지</t>
        </is>
      </c>
      <c r="L1497" s="6">
        <f>HYPERLINK("https://fin.land.naver.com/articles/2652331275",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다정센텀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503-2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162000</v>
      </c>
      <c r="G1498" s="4" t="n">
        <v>1517</v>
      </c>
      <c r="H1498" s="4" t="n">
        <v>459</v>
      </c>
      <c r="I1498" s="5" t="n">
        <v>352.9</v>
      </c>
      <c r="J1498" s="5" t="n">
        <v>52.2</v>
      </c>
      <c r="K1498" s="3" t="inlineStr">
        <is>
          <t>Click 수산교차로 인근 계획관리지역 2필지 도로접 Click</t>
        </is>
      </c>
      <c r="L1498" s="6">
        <f>HYPERLINK("https://fin.land.naver.com/articles/2651434188", "매물Link")</f>
        <v/>
      </c>
      <c r="M1498" s="6">
        <f>HYPERLINK("https://map.naver.com/p/search/연기면 수산리 503-2", "지도Link")</f>
        <v/>
      </c>
      <c r="N1498" s="6">
        <f>HYPERLINK("http://www.eum.go.kr/web/ar/lu/luLandDet.jsp?pnu=3611031024105030002&amp;isNoScr=script&amp;mode=search", "토지이음")</f>
        <v/>
      </c>
      <c r="O1498" s="3" t="inlineStr">
        <is>
          <t>해뜰</t>
        </is>
      </c>
      <c r="P1498" s="4" t="n">
        <v>1</v>
      </c>
      <c r="Q1498" s="4" t="n">
        <v>767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수산리 505</t>
        </is>
      </c>
      <c r="B1499" s="3" t="inlineStr">
        <is>
          <t>농림지역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16512</v>
      </c>
      <c r="H1499" s="4" t="n">
        <v>4995</v>
      </c>
      <c r="I1499" s="5" t="n">
        <v>12</v>
      </c>
      <c r="J1499" s="5" t="n">
        <v>5.8</v>
      </c>
      <c r="K1499" s="3" t="inlineStr">
        <is>
          <t>2필지일괄매매,조율가능</t>
        </is>
      </c>
      <c r="L1499" s="6">
        <f>HYPERLINK("https://fin.land.naver.com/articles/2656021118", "매물Link")</f>
        <v/>
      </c>
      <c r="M1499" s="6">
        <f>HYPERLINK("https://map.naver.com/p/search/연기면 수산리 505", "지도Link")</f>
        <v/>
      </c>
      <c r="N1499" s="6">
        <f>HYPERLINK("http://www.eum.go.kr/web/ar/lu/luLandDet.jsp?pnu=3611031024105050000&amp;isNoScr=script&amp;mode=search", "토지이음")</f>
        <v/>
      </c>
      <c r="O1499" s="3" t="inlineStr">
        <is>
          <t>인서</t>
        </is>
      </c>
      <c r="P1499" s="4" t="n">
        <v>1</v>
      </c>
      <c r="Q1499" s="4" t="n">
        <v>879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급경사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연기면 수산리 511-2</t>
        </is>
      </c>
      <c r="B1500" s="3" t="inlineStr">
        <is>
          <t>생산관리지역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90000</v>
      </c>
      <c r="G1500" s="4" t="n">
        <v>2945</v>
      </c>
      <c r="H1500" s="4" t="n">
        <v>891</v>
      </c>
      <c r="I1500" s="5" t="n">
        <v>101</v>
      </c>
      <c r="J1500" s="5" t="n">
        <v>42.7</v>
      </c>
      <c r="K1500" s="3" t="inlineStr">
        <is>
          <t>e루다 ic부근 투자용 890p , 적극조율,세종시행정수도 저렴매매</t>
        </is>
      </c>
      <c r="L1500" s="6">
        <f>HYPERLINK("https://fin.land.naver.com/articles/2656137981", "매물Link")</f>
        <v/>
      </c>
      <c r="M1500" s="6">
        <f>HYPERLINK("https://map.naver.com/p/search/연기면 수산리 511-2", "지도Link")</f>
        <v/>
      </c>
      <c r="N1500" s="6">
        <f>HYPERLINK("http://www.eum.go.kr/web/ar/lu/luLandDet.jsp?pnu=3611031024105110002&amp;isNoScr=script&amp;mode=search", "토지이음")</f>
        <v/>
      </c>
      <c r="O1500" s="3" t="inlineStr">
        <is>
          <t>이루다</t>
        </is>
      </c>
      <c r="P1500" s="4" t="n">
        <v>1</v>
      </c>
      <c r="Q1500" s="4" t="n">
        <v>2945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수산리 534-15</t>
        </is>
      </c>
      <c r="B1501" s="3" t="inlineStr">
        <is>
          <t>보전관리지역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32340</v>
      </c>
      <c r="G1501" s="4" t="n">
        <v>485</v>
      </c>
      <c r="H1501" s="4" t="n">
        <v>147</v>
      </c>
      <c r="I1501" s="5" t="n">
        <v>220</v>
      </c>
      <c r="J1501" s="5" t="n">
        <v>55</v>
      </c>
      <c r="K1501" s="3" t="inlineStr">
        <is>
          <t>nan</t>
        </is>
      </c>
      <c r="L1501" s="6">
        <f>HYPERLINK("https://fin.land.naver.com/articles/2652503631", "매물Link")</f>
        <v/>
      </c>
      <c r="M1501" s="6">
        <f>HYPERLINK("https://map.naver.com/p/search/연기면 수산리 534-15", "지도Link")</f>
        <v/>
      </c>
      <c r="N1501" s="6">
        <f>HYPERLINK("http://www.eum.go.kr/web/ar/lu/luLandDet.jsp?pnu=3611031024105340015&amp;isNoScr=script&amp;mode=search", "토지이음")</f>
        <v/>
      </c>
      <c r="O1501" s="3" t="inlineStr">
        <is>
          <t>동원</t>
        </is>
      </c>
      <c r="P1501" s="4" t="n">
        <v>1</v>
      </c>
      <c r="Q1501" s="4" t="n">
        <v>446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수산리 534-17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43300</v>
      </c>
      <c r="G1502" s="4" t="n">
        <v>622</v>
      </c>
      <c r="H1502" s="4" t="n">
        <v>188</v>
      </c>
      <c r="I1502" s="5" t="n">
        <v>230.3</v>
      </c>
      <c r="J1502" s="5" t="n">
        <v>52.3</v>
      </c>
      <c r="K1502" s="3" t="inlineStr">
        <is>
          <t>뷰 좋은 건축허가 득한 토지, IC 인접,세종시 6생활권인접</t>
        </is>
      </c>
      <c r="L1502" s="6">
        <f>HYPERLINK("https://fin.land.naver.com/articles/2655249652", "매물Link")</f>
        <v/>
      </c>
      <c r="M1502" s="6">
        <f>HYPERLINK("https://map.naver.com/p/search/연기면 수산리 534-17", "지도Link")</f>
        <v/>
      </c>
      <c r="N1502" s="6">
        <f>HYPERLINK("http://www.eum.go.kr/web/ar/lu/luLandDet.jsp?pnu=3611031024105340017&amp;isNoScr=script&amp;mode=search", "토지이음")</f>
        <v/>
      </c>
      <c r="O1502" s="3" t="inlineStr">
        <is>
          <t>담뜰</t>
        </is>
      </c>
      <c r="P1502" s="4" t="n">
        <v>3</v>
      </c>
      <c r="Q1502" s="4" t="n">
        <v>507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연기면 수산리 534-17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43240</v>
      </c>
      <c r="G1503" s="4" t="n">
        <v>622</v>
      </c>
      <c r="H1503" s="4" t="n">
        <v>188</v>
      </c>
      <c r="I1503" s="5" t="n">
        <v>230</v>
      </c>
      <c r="J1503" s="5" t="n">
        <v>52.3</v>
      </c>
      <c r="K1503" s="3" t="inlineStr">
        <is>
          <t>nan</t>
        </is>
      </c>
      <c r="L1503" s="6">
        <f>HYPERLINK("https://fin.land.naver.com/articles/2656194999", "매물Link")</f>
        <v/>
      </c>
      <c r="M1503" s="6">
        <f>HYPERLINK("https://map.naver.com/p/search/연기면 수산리 534-17", "지도Link")</f>
        <v/>
      </c>
      <c r="N1503" s="6">
        <f>HYPERLINK("http://www.eum.go.kr/web/ar/lu/luLandDet.jsp?pnu=3611031024105340017&amp;isNoScr=script&amp;mode=search", "토지이음")</f>
        <v/>
      </c>
      <c r="O1503" s="3" t="inlineStr">
        <is>
          <t>세종소담114</t>
        </is>
      </c>
      <c r="P1503" s="4" t="n">
        <v>1</v>
      </c>
      <c r="Q1503" s="4" t="n">
        <v>507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연기면 수산리 534-7</t>
        </is>
      </c>
      <c r="B1504" s="3" t="inlineStr">
        <is>
          <t>보전관리지역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35500</v>
      </c>
      <c r="G1504" s="4" t="n">
        <v>470</v>
      </c>
      <c r="H1504" s="4" t="n">
        <v>142</v>
      </c>
      <c r="I1504" s="5" t="n">
        <v>250</v>
      </c>
      <c r="J1504" s="5" t="n">
        <v>76.40000000000001</v>
      </c>
      <c r="K1504" s="3" t="inlineStr">
        <is>
          <t>토목공사 완료된 독일마을 전원주택부지</t>
        </is>
      </c>
      <c r="L1504" s="6">
        <f>HYPERLINK("https://fin.land.naver.com/articles/2650856643", "매물Link")</f>
        <v/>
      </c>
      <c r="M1504" s="6">
        <f>HYPERLINK("https://map.naver.com/p/search/연기면 수산리 534-7", "지도Link")</f>
        <v/>
      </c>
      <c r="N1504" s="6">
        <f>HYPERLINK("http://www.eum.go.kr/web/ar/lu/luLandDet.jsp?pnu=3611031024105340007&amp;isNoScr=script&amp;mode=search",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470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연기면 수산리 536-2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37700</v>
      </c>
      <c r="G1505" s="4" t="n">
        <v>1246</v>
      </c>
      <c r="H1505" s="4" t="n">
        <v>377</v>
      </c>
      <c r="I1505" s="5" t="n">
        <v>100</v>
      </c>
      <c r="J1505" s="5" t="n">
        <v>38.2</v>
      </c>
      <c r="K1505" s="3" t="inlineStr">
        <is>
          <t>세종시 초인접 계획관리 답</t>
        </is>
      </c>
      <c r="L1505" s="6">
        <f>HYPERLINK("https://fin.land.naver.com/articles/2652621671", "매물Link")</f>
        <v/>
      </c>
      <c r="M1505" s="6">
        <f>HYPERLINK("https://map.naver.com/p/search/연기면 수산리 536-2", "지도Link")</f>
        <v/>
      </c>
      <c r="N1505" s="6">
        <f>HYPERLINK("http://www.eum.go.kr/web/ar/lu/luLandDet.jsp?pnu=3611031024105360002&amp;isNoScr=script&amp;mode=search", "토지이음")</f>
        <v/>
      </c>
      <c r="O1505" s="3" t="inlineStr">
        <is>
          <t>강나루</t>
        </is>
      </c>
      <c r="P1505" s="4" t="n">
        <v>1</v>
      </c>
      <c r="Q1505" s="4" t="n">
        <v>1246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수산리 536-2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37700</v>
      </c>
      <c r="G1506" s="4" t="n">
        <v>1246</v>
      </c>
      <c r="H1506" s="4" t="n">
        <v>377</v>
      </c>
      <c r="I1506" s="5" t="n">
        <v>100</v>
      </c>
      <c r="J1506" s="5" t="n">
        <v>38.2</v>
      </c>
      <c r="K1506" s="3" t="inlineStr">
        <is>
          <t>서울세종간고속도로 진입램프와 가까운 수산리지역 토지</t>
        </is>
      </c>
      <c r="L1506" s="6">
        <f>HYPERLINK("https://fin.land.naver.com/articles/2652030443", "매물Link")</f>
        <v/>
      </c>
      <c r="M1506" s="6">
        <f>HYPERLINK("https://map.naver.com/p/search/연기면 수산리 536-2", "지도Link")</f>
        <v/>
      </c>
      <c r="N1506" s="6">
        <f>HYPERLINK("http://www.eum.go.kr/web/ar/lu/luLandDet.jsp?pnu=3611031024105360002&amp;isNoScr=script&amp;mode=search", "토지이음")</f>
        <v/>
      </c>
      <c r="O1506" s="3" t="inlineStr">
        <is>
          <t>미스터홈즈강남지사</t>
        </is>
      </c>
      <c r="P1506" s="4" t="n">
        <v>1</v>
      </c>
      <c r="Q1506" s="4" t="n">
        <v>1246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539-1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58000</v>
      </c>
      <c r="G1507" s="4" t="n">
        <v>767</v>
      </c>
      <c r="H1507" s="4" t="n">
        <v>232</v>
      </c>
      <c r="I1507" s="5" t="n">
        <v>250</v>
      </c>
      <c r="J1507" s="5" t="n">
        <v>55</v>
      </c>
      <c r="K1507" s="3" t="inlineStr">
        <is>
          <t>nan</t>
        </is>
      </c>
      <c r="L1507" s="6">
        <f>HYPERLINK("https://fin.land.naver.com/articles/2653631626", "매물Link")</f>
        <v/>
      </c>
      <c r="M1507" s="6">
        <f>HYPERLINK("https://map.naver.com/p/search/연기면 수산리 539-1", "지도Link")</f>
        <v/>
      </c>
      <c r="N1507" s="6">
        <f>HYPERLINK("http://www.eum.go.kr/web/ar/lu/luLandDet.jsp?pnu=3611031024105390001&amp;isNoScr=script&amp;mode=search", "토지이음")</f>
        <v/>
      </c>
      <c r="O1507" s="3" t="inlineStr">
        <is>
          <t>에바다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연기면 수산리 542-7</t>
        </is>
      </c>
      <c r="B1508" s="3" t="inlineStr">
        <is>
          <t>보전관리지역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25000</v>
      </c>
      <c r="G1508" s="4" t="n">
        <v>444</v>
      </c>
      <c r="H1508" s="4" t="n">
        <v>134</v>
      </c>
      <c r="I1508" s="5" t="n">
        <v>186.6</v>
      </c>
      <c r="J1508" s="5" t="n">
        <v>82.2</v>
      </c>
      <c r="K1508" s="3" t="inlineStr">
        <is>
          <t>독일마을, 주택지, 투자</t>
        </is>
      </c>
      <c r="L1508" s="6">
        <f>HYPERLINK("https://fin.land.naver.com/articles/2652533972", "매물Link")</f>
        <v/>
      </c>
      <c r="M1508" s="6">
        <f>HYPERLINK("https://map.naver.com/p/search/연기면 수산리 542-7", "지도Link")</f>
        <v/>
      </c>
      <c r="N1508" s="6">
        <f>HYPERLINK("http://www.eum.go.kr/web/ar/lu/luLandDet.jsp?pnu=3611031024105420007&amp;isNoScr=script&amp;mode=search", "토지이음")</f>
        <v/>
      </c>
      <c r="O1508" s="3" t="inlineStr">
        <is>
          <t>한뜰금빛</t>
        </is>
      </c>
      <c r="P1508" s="4" t="n">
        <v>1</v>
      </c>
      <c r="Q1508" s="4" t="n">
        <v>444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완경사</t>
        </is>
      </c>
      <c r="U1508" s="3" t="inlineStr">
        <is>
          <t>가로장방</t>
        </is>
      </c>
      <c r="V1508" s="3" t="inlineStr">
        <is>
          <t>세로한면(가)</t>
        </is>
      </c>
    </row>
    <row r="1509">
      <c r="A1509" s="3" t="inlineStr">
        <is>
          <t>연기면 수산리 553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87400</v>
      </c>
      <c r="G1509" s="4" t="n">
        <v>2889</v>
      </c>
      <c r="H1509" s="4" t="n">
        <v>874</v>
      </c>
      <c r="I1509" s="5" t="n">
        <v>100</v>
      </c>
      <c r="J1509" s="5" t="n">
        <v>34.6</v>
      </c>
      <c r="K1509" s="3" t="inlineStr">
        <is>
          <t>세종시내와 가까운 저렴한 계획관리</t>
        </is>
      </c>
      <c r="L1509" s="6">
        <f>HYPERLINK("https://fin.land.naver.com/articles/2653353123", "매물Link")</f>
        <v/>
      </c>
      <c r="M1509" s="6">
        <f>HYPERLINK("https://map.naver.com/p/search/연기면 수산리 553", "지도Link")</f>
        <v/>
      </c>
      <c r="N1509" s="6">
        <f>HYPERLINK("http://www.eum.go.kr/web/ar/lu/luLandDet.jsp?pnu=3611031024105530000&amp;isNoScr=script&amp;mode=search", "토지이음")</f>
        <v/>
      </c>
      <c r="O1509" s="3" t="inlineStr">
        <is>
          <t>황제</t>
        </is>
      </c>
      <c r="P1509" s="4" t="n">
        <v>2</v>
      </c>
      <c r="Q1509" s="4" t="n">
        <v>2889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564-1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대</t>
        </is>
      </c>
      <c r="E1510" s="3" t="inlineStr">
        <is>
          <t>매매</t>
        </is>
      </c>
      <c r="F1510" s="4" t="n">
        <v>33800</v>
      </c>
      <c r="G1510" s="4" t="n">
        <v>545</v>
      </c>
      <c r="H1510" s="4" t="n">
        <v>165</v>
      </c>
      <c r="I1510" s="5" t="n">
        <v>204.8</v>
      </c>
      <c r="J1510" s="5" t="n">
        <v>84.59999999999999</v>
      </c>
      <c r="K1510" s="3" t="inlineStr">
        <is>
          <t>수산리 제2종근린생활시설 건축물 있어요.
주택수에 포함 안됩니다.</t>
        </is>
      </c>
      <c r="L1510" s="6">
        <f>HYPERLINK("https://fin.land.naver.com/articles/2651235768", "매물Link")</f>
        <v/>
      </c>
      <c r="M1510" s="6">
        <f>HYPERLINK("https://map.naver.com/p/search/연기면 수산리 564-1", "지도Link")</f>
        <v/>
      </c>
      <c r="N1510" s="6">
        <f>HYPERLINK("http://www.eum.go.kr/web/ar/lu/luLandDet.jsp?pnu=3611031024105640001&amp;isNoScr=script&amp;mode=search", "토지이음")</f>
        <v/>
      </c>
      <c r="O1510" s="3" t="inlineStr">
        <is>
          <t>세종토박이</t>
        </is>
      </c>
      <c r="P1510" s="4" t="n">
        <v>1</v>
      </c>
      <c r="Q1510" s="4" t="n">
        <v>404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완경사</t>
        </is>
      </c>
      <c r="U1510" s="3" t="inlineStr">
        <is>
          <t>정방형</t>
        </is>
      </c>
      <c r="V1510" s="3" t="inlineStr">
        <is>
          <t>세로한면(가)</t>
        </is>
      </c>
    </row>
    <row r="1511">
      <c r="A1511" s="3" t="inlineStr">
        <is>
          <t>연기면 수산리 564-5</t>
        </is>
      </c>
      <c r="B1511" s="3" t="inlineStr">
        <is>
          <t>보전관리지역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39000</v>
      </c>
      <c r="G1511" s="4" t="n">
        <v>552</v>
      </c>
      <c r="H1511" s="4" t="n">
        <v>167</v>
      </c>
      <c r="I1511" s="5" t="n">
        <v>233.5</v>
      </c>
      <c r="J1511" s="5" t="n">
        <v>84.59999999999999</v>
      </c>
      <c r="K1511" s="3" t="inlineStr">
        <is>
          <t>nan</t>
        </is>
      </c>
      <c r="L1511" s="6">
        <f>HYPERLINK("https://fin.land.naver.com/articles/2652065174", "매물Link")</f>
        <v/>
      </c>
      <c r="M1511" s="6">
        <f>HYPERLINK("https://map.naver.com/p/search/연기면 수산리 564-5", "지도Link")</f>
        <v/>
      </c>
      <c r="N1511" s="6">
        <f>HYPERLINK("http://www.eum.go.kr/web/ar/lu/luLandDet.jsp?pnu=3611031024105640005&amp;isNoScr=script&amp;mode=search", "토지이음")</f>
        <v/>
      </c>
      <c r="O1511" s="3" t="inlineStr">
        <is>
          <t>신와촌</t>
        </is>
      </c>
      <c r="P1511" s="4" t="n">
        <v>1</v>
      </c>
      <c r="Q1511" s="4" t="n">
        <v>404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완경사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연기면 수산리 566-1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65000</v>
      </c>
      <c r="G1512" s="4" t="n">
        <v>827</v>
      </c>
      <c r="H1512" s="4" t="n">
        <v>250</v>
      </c>
      <c r="I1512" s="5" t="n">
        <v>260</v>
      </c>
      <c r="J1512" s="5" t="n">
        <v>38.2</v>
      </c>
      <c r="K1512" s="3" t="inlineStr">
        <is>
          <t>계획관리구역내 전원주택 부지, 토목공사완료</t>
        </is>
      </c>
      <c r="L1512" s="6">
        <f>HYPERLINK("https://fin.land.naver.com/articles/2655185932", "매물Link")</f>
        <v/>
      </c>
      <c r="M1512" s="6">
        <f>HYPERLINK("https://map.naver.com/p/search/연기면 수산리 566-1", "지도Link")</f>
        <v/>
      </c>
      <c r="N1512" s="6">
        <f>HYPERLINK("http://www.eum.go.kr/web/ar/lu/luLandDet.jsp?pnu=3611031024105660001&amp;isNoScr=script&amp;mode=search", "토지이음")</f>
        <v/>
      </c>
      <c r="O1512" s="3" t="inlineStr">
        <is>
          <t>한화최고</t>
        </is>
      </c>
      <c r="P1512" s="4" t="n">
        <v>1</v>
      </c>
      <c r="Q1512" s="4" t="n">
        <v>827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575-2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135000</v>
      </c>
      <c r="G1513" s="4" t="n">
        <v>9917</v>
      </c>
      <c r="H1513" s="4" t="n">
        <v>3000</v>
      </c>
      <c r="I1513" s="5" t="n">
        <v>45</v>
      </c>
      <c r="J1513" s="5" t="n">
        <v>5.1</v>
      </c>
      <c r="K1513" s="3" t="inlineStr">
        <is>
          <t>nan</t>
        </is>
      </c>
      <c r="L1513" s="6">
        <f>HYPERLINK("https://fin.land.naver.com/articles/2653146264", "매물Link")</f>
        <v/>
      </c>
      <c r="M1513" s="6">
        <f>HYPERLINK("https://map.naver.com/p/search/연기면 수산리 575-2", "지도Link")</f>
        <v/>
      </c>
      <c r="N1513" s="6">
        <f>HYPERLINK("http://www.eum.go.kr/web/ar/lu/luLandDet.jsp?pnu=3611031024105750002&amp;isNoScr=script&amp;mode=search", "토지이음")</f>
        <v/>
      </c>
      <c r="O1513" s="3" t="inlineStr">
        <is>
          <t>공단119</t>
        </is>
      </c>
      <c r="P1513" s="4" t="n">
        <v>1</v>
      </c>
      <c r="Q1513" s="4" t="n">
        <v>30129</v>
      </c>
      <c r="R1513" s="3" t="inlineStr">
        <is>
          <t>지정되지않음</t>
        </is>
      </c>
      <c r="S1513" s="3" t="inlineStr">
        <is>
          <t>자연림</t>
        </is>
      </c>
      <c r="T1513" s="3" t="inlineStr">
        <is>
          <t>고지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575-2</t>
        </is>
      </c>
      <c r="B1514" s="3" t="inlineStr">
        <is>
          <t>보전관리지역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420000</v>
      </c>
      <c r="G1514" s="4" t="n">
        <v>30129</v>
      </c>
      <c r="H1514" s="4" t="n">
        <v>9114</v>
      </c>
      <c r="I1514" s="5" t="n">
        <v>46.1</v>
      </c>
      <c r="J1514" s="5" t="n">
        <v>5.1</v>
      </c>
      <c r="K1514" s="3" t="inlineStr">
        <is>
          <t>세종 연기면  대형 임야｜보전관리지역준보전산지 매매</t>
        </is>
      </c>
      <c r="L1514" s="6">
        <f>HYPERLINK("https://fin.land.naver.com/articles/2651526829", "매물Link")</f>
        <v/>
      </c>
      <c r="M1514" s="6">
        <f>HYPERLINK("https://map.naver.com/p/search/연기면 수산리 575-2", "지도Link")</f>
        <v/>
      </c>
      <c r="N1514" s="6">
        <f>HYPERLINK("http://www.eum.go.kr/web/ar/lu/luLandDet.jsp?pnu=3611031024105750002&amp;isNoScr=script&amp;mode=search",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30129</v>
      </c>
      <c r="R1514" s="3" t="inlineStr">
        <is>
          <t>지정되지않음</t>
        </is>
      </c>
      <c r="S1514" s="3" t="inlineStr">
        <is>
          <t>자연림</t>
        </is>
      </c>
      <c r="T1514" s="3" t="inlineStr">
        <is>
          <t>고지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575-2</t>
        </is>
      </c>
      <c r="B1515" s="3" t="inlineStr">
        <is>
          <t>보전관리지역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365200</v>
      </c>
      <c r="G1515" s="4" t="n">
        <v>30129</v>
      </c>
      <c r="H1515" s="4" t="n">
        <v>9114</v>
      </c>
      <c r="I1515" s="5" t="n">
        <v>40.1</v>
      </c>
      <c r="J1515" s="5" t="n">
        <v>5.1</v>
      </c>
      <c r="K1515" s="3" t="inlineStr">
        <is>
          <t>세종시 인접지역, 임야</t>
        </is>
      </c>
      <c r="L1515" s="6">
        <f>HYPERLINK("https://fin.land.naver.com/articles/2652241436", "매물Link")</f>
        <v/>
      </c>
      <c r="M1515" s="6">
        <f>HYPERLINK("https://map.naver.com/p/search/연기면 수산리 575-2", "지도Link")</f>
        <v/>
      </c>
      <c r="N1515" s="6">
        <f>HYPERLINK("http://www.eum.go.kr/web/ar/lu/luLandDet.jsp?pnu=3611031024105750002&amp;isNoScr=script&amp;mode=search", "토지이음")</f>
        <v/>
      </c>
      <c r="O1515" s="3" t="inlineStr">
        <is>
          <t>금손</t>
        </is>
      </c>
      <c r="P1515" s="4" t="n">
        <v>1</v>
      </c>
      <c r="Q1515" s="4" t="n">
        <v>30129</v>
      </c>
      <c r="R1515" s="3" t="inlineStr">
        <is>
          <t>지정되지않음</t>
        </is>
      </c>
      <c r="S1515" s="3" t="inlineStr">
        <is>
          <t>자연림</t>
        </is>
      </c>
      <c r="T1515" s="3" t="inlineStr">
        <is>
          <t>고지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58-1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186000</v>
      </c>
      <c r="G1516" s="4" t="n">
        <v>3626</v>
      </c>
      <c r="H1516" s="4" t="n">
        <v>1097</v>
      </c>
      <c r="I1516" s="5" t="n">
        <v>169.6</v>
      </c>
      <c r="J1516" s="5" t="n">
        <v>64.5</v>
      </c>
      <c r="K1516" s="3" t="inlineStr">
        <is>
          <t>계획관리,도로접함</t>
        </is>
      </c>
      <c r="L1516" s="6">
        <f>HYPERLINK("https://fin.land.naver.com/articles/2655257700", "매물Link")</f>
        <v/>
      </c>
      <c r="M1516" s="6">
        <f>HYPERLINK("https://map.naver.com/p/search/연기면 수산리 58-1", "지도Link")</f>
        <v/>
      </c>
      <c r="N1516" s="6">
        <f>HYPERLINK("http://www.eum.go.kr/web/ar/lu/luLandDet.jsp?pnu=3611031024100580001&amp;isNoScr=script&amp;mode=search",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3626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68-4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108500</v>
      </c>
      <c r="G1517" s="4" t="n">
        <v>652</v>
      </c>
      <c r="H1517" s="4" t="n">
        <v>197</v>
      </c>
      <c r="I1517" s="5" t="n">
        <v>550.8</v>
      </c>
      <c r="J1517" s="5" t="n">
        <v>58.8</v>
      </c>
      <c r="K1517" s="3" t="inlineStr">
        <is>
          <t>가시성 좋은 위치의 계획관리토지</t>
        </is>
      </c>
      <c r="L1517" s="6">
        <f>HYPERLINK("https://fin.land.naver.com/articles/2652105743", "매물Link")</f>
        <v/>
      </c>
      <c r="M1517" s="6">
        <f>HYPERLINK("https://map.naver.com/p/search/연기면 수산리 68-4", "지도Link")</f>
        <v/>
      </c>
      <c r="N1517" s="6">
        <f>HYPERLINK("http://www.eum.go.kr/web/ar/lu/luLandDet.jsp?pnu=3611031024100680004&amp;isNoScr=script&amp;mode=search",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652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72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167000</v>
      </c>
      <c r="G1518" s="4" t="n">
        <v>1369</v>
      </c>
      <c r="H1518" s="4" t="n">
        <v>414</v>
      </c>
      <c r="I1518" s="5" t="n">
        <v>403.4</v>
      </c>
      <c r="J1518" s="5" t="n">
        <v>50</v>
      </c>
      <c r="K1518" s="3" t="inlineStr">
        <is>
          <t>수산리 음식점 까페적지 계획관리지역</t>
        </is>
      </c>
      <c r="L1518" s="6">
        <f>HYPERLINK("https://fin.land.naver.com/articles/2654063288", "매물Link")</f>
        <v/>
      </c>
      <c r="M1518" s="6">
        <f>HYPERLINK("https://map.naver.com/p/search/연기면 수산리 72", "지도Link")</f>
        <v/>
      </c>
      <c r="N1518" s="6">
        <f>HYPERLINK("http://www.eum.go.kr/web/ar/lu/luLandDet.jsp?pnu=3611031024100720000&amp;isNoScr=script&amp;mode=search", "토지이음")</f>
        <v/>
      </c>
      <c r="O1518" s="3" t="inlineStr">
        <is>
          <t>세종천지</t>
        </is>
      </c>
      <c r="P1518" s="4" t="n">
        <v>1</v>
      </c>
      <c r="Q1518" s="4" t="n">
        <v>768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75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46800</v>
      </c>
      <c r="G1519" s="4" t="n">
        <v>774</v>
      </c>
      <c r="H1519" s="4" t="n">
        <v>234</v>
      </c>
      <c r="I1519" s="5" t="n">
        <v>200</v>
      </c>
      <c r="J1519" s="5" t="n">
        <v>52.2</v>
      </c>
      <c r="K1519" s="3" t="inlineStr">
        <is>
          <t>수산교차로 인근에 위치한 토지 매매</t>
        </is>
      </c>
      <c r="L1519" s="6">
        <f>HYPERLINK("https://fin.land.naver.com/articles/2650903285", "매물Link")</f>
        <v/>
      </c>
      <c r="M1519" s="6">
        <f>HYPERLINK("https://map.naver.com/p/search/연기면 수산리 75", "지도Link")</f>
        <v/>
      </c>
      <c r="N1519" s="6">
        <f>HYPERLINK("http://www.eum.go.kr/web/ar/lu/luLandDet.jsp?pnu=3611031024100750000&amp;isNoScr=script&amp;mode=search", "토지이음")</f>
        <v/>
      </c>
      <c r="O1519" s="3" t="inlineStr">
        <is>
          <t>현대엠코</t>
        </is>
      </c>
      <c r="P1519" s="4" t="n">
        <v>1</v>
      </c>
      <c r="Q1519" s="4" t="n">
        <v>774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90-2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310500</v>
      </c>
      <c r="G1520" s="4" t="n">
        <v>2000</v>
      </c>
      <c r="H1520" s="4" t="n">
        <v>605</v>
      </c>
      <c r="I1520" s="5" t="n">
        <v>513.2</v>
      </c>
      <c r="J1520" s="5" t="n">
        <v>109.9</v>
      </c>
      <c r="K1520" s="3" t="inlineStr">
        <is>
          <t>nan</t>
        </is>
      </c>
      <c r="L1520" s="6">
        <f>HYPERLINK("https://fin.land.naver.com/articles/2654178171", "매물Link")</f>
        <v/>
      </c>
      <c r="M1520" s="6">
        <f>HYPERLINK("https://map.naver.com/p/search/연기면 수산리 90-2", "지도Link")</f>
        <v/>
      </c>
      <c r="N1520" s="6">
        <f>HYPERLINK("http://www.eum.go.kr/web/ar/lu/luLandDet.jsp?pnu=3611031024100900002&amp;isNoScr=script&amp;mode=search", "토지이음")</f>
        <v/>
      </c>
      <c r="O1520" s="3" t="inlineStr">
        <is>
          <t>둔곡타워</t>
        </is>
      </c>
      <c r="P1520" s="4" t="n">
        <v>1</v>
      </c>
      <c r="Q1520" s="4" t="n">
        <v>1791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산121</t>
        </is>
      </c>
      <c r="B1521" s="3" t="inlineStr">
        <is>
          <t>계획관리지역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80000</v>
      </c>
      <c r="G1521" s="4" t="n">
        <v>2182</v>
      </c>
      <c r="H1521" s="4" t="n">
        <v>660</v>
      </c>
      <c r="I1521" s="5" t="n">
        <v>121.2</v>
      </c>
      <c r="J1521" s="5" t="n">
        <v>19.9</v>
      </c>
      <c r="K1521" s="3" t="inlineStr">
        <is>
          <t>수산리 위치 조망 좋은 토지매매</t>
        </is>
      </c>
      <c r="L1521" s="6">
        <f>HYPERLINK("https://fin.land.naver.com/articles/2652044093", "매물Link")</f>
        <v/>
      </c>
      <c r="M1521" s="6">
        <f>HYPERLINK("https://map.naver.com/p/search/연기면 수산리 산121", "지도Link")</f>
        <v/>
      </c>
      <c r="N1521" s="6">
        <f>HYPERLINK("http://www.eum.go.kr/web/ar/lu/luLandDet.jsp?pnu=3611031024201210000&amp;isNoScr=script&amp;mode=search", "토지이음")</f>
        <v/>
      </c>
      <c r="O1521" s="3" t="inlineStr">
        <is>
          <t>에이스</t>
        </is>
      </c>
      <c r="P1521" s="4" t="n">
        <v>1</v>
      </c>
      <c r="Q1521" s="4" t="n">
        <v>2182</v>
      </c>
      <c r="R1521" s="3" t="inlineStr">
        <is>
          <t>지정되지않음</t>
        </is>
      </c>
      <c r="S1521" s="3" t="inlineStr">
        <is>
          <t>자연림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산25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432000</v>
      </c>
      <c r="G1522" s="4" t="n">
        <v>4760</v>
      </c>
      <c r="H1522" s="4" t="n">
        <v>1440</v>
      </c>
      <c r="I1522" s="5" t="n">
        <v>300</v>
      </c>
      <c r="J1522" s="5" t="n">
        <v>10.9</v>
      </c>
      <c r="K1522" s="3" t="inlineStr">
        <is>
          <t>수산리 전원주택지 안에 있는 개발하지 않은 원형지 형태의 야산입니다</t>
        </is>
      </c>
      <c r="L1522" s="6">
        <f>HYPERLINK("https://fin.land.naver.com/articles/2652194845", "매물Link")</f>
        <v/>
      </c>
      <c r="M1522" s="6">
        <f>HYPERLINK("https://map.naver.com/p/search/연기면 수산리 산25", "지도Link")</f>
        <v/>
      </c>
      <c r="N1522" s="6">
        <f>HYPERLINK("http://www.eum.go.kr/web/ar/lu/luLandDet.jsp?pnu=3611031024200250000&amp;isNoScr=script&amp;mode=search",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4760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산90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266000</v>
      </c>
      <c r="G1523" s="4" t="n">
        <v>23107</v>
      </c>
      <c r="H1523" s="4" t="n">
        <v>6990</v>
      </c>
      <c r="I1523" s="5" t="n">
        <v>38.1</v>
      </c>
      <c r="J1523" s="5" t="n">
        <v>5.8</v>
      </c>
      <c r="K1523" s="3" t="inlineStr">
        <is>
          <t>저렴한 토지입니다.</t>
        </is>
      </c>
      <c r="L1523" s="6">
        <f>HYPERLINK("https://fin.land.naver.com/articles/2651254022", "매물Link")</f>
        <v/>
      </c>
      <c r="M1523" s="6">
        <f>HYPERLINK("https://map.naver.com/p/search/연기면 수산리 산90", "지도Link")</f>
        <v/>
      </c>
      <c r="N1523" s="6">
        <f>HYPERLINK("http://www.eum.go.kr/web/ar/lu/luLandDet.jsp?pnu=3611031024200900000&amp;isNoScr=script&amp;mode=search", "토지이음")</f>
        <v/>
      </c>
      <c r="O1523" s="3" t="inlineStr">
        <is>
          <t>세종토박이</t>
        </is>
      </c>
      <c r="P1523" s="4" t="n">
        <v>1</v>
      </c>
      <c r="Q1523" s="4" t="n">
        <v>8727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급경사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연기리 1-19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32000</v>
      </c>
      <c r="G1524" s="4" t="n">
        <v>302</v>
      </c>
      <c r="H1524" s="4" t="n">
        <v>91</v>
      </c>
      <c r="I1524" s="5" t="n">
        <v>351.6</v>
      </c>
      <c r="J1524" s="5" t="n">
        <v>175.7</v>
      </c>
      <c r="K1524" s="3" t="inlineStr">
        <is>
          <t>명성공인, 전용91.35, 연기리 계획관리 추천 매물</t>
        </is>
      </c>
      <c r="L1524" s="6">
        <f>HYPERLINK("https://fin.land.naver.com/articles/2656371944", "매물Link")</f>
        <v/>
      </c>
      <c r="M1524" s="6">
        <f>HYPERLINK("https://map.naver.com/p/search/연기면 연기리 1-19", "지도Link")</f>
        <v/>
      </c>
      <c r="N1524" s="6">
        <f>HYPERLINK("http://www.eum.go.kr/web/ar/lu/luLandDet.jsp?pnu=3611031021100010019&amp;isNoScr=script&amp;mode=search", "토지이음")</f>
        <v/>
      </c>
      <c r="O1524" s="3" t="inlineStr">
        <is>
          <t>명성</t>
        </is>
      </c>
      <c r="P1524" s="4" t="n">
        <v>2</v>
      </c>
      <c r="Q1524" s="4" t="n">
        <v>302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1-20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36000</v>
      </c>
      <c r="G1525" s="4" t="n">
        <v>360</v>
      </c>
      <c r="H1525" s="4" t="n">
        <v>109</v>
      </c>
      <c r="I1525" s="5" t="n">
        <v>330.3</v>
      </c>
      <c r="J1525" s="5" t="n">
        <v>175.7</v>
      </c>
      <c r="K1525" s="3" t="inlineStr">
        <is>
          <t>전원주택,다가구 위치로 좋은 토지</t>
        </is>
      </c>
      <c r="L1525" s="6">
        <f>HYPERLINK("https://fin.land.naver.com/articles/2655169442", "매물Link")</f>
        <v/>
      </c>
      <c r="M1525" s="6">
        <f>HYPERLINK("https://map.naver.com/p/search/연기면 연기리 1-20", "지도Link")</f>
        <v/>
      </c>
      <c r="N1525" s="6">
        <f>HYPERLINK("http://www.eum.go.kr/web/ar/lu/luLandDet.jsp?pnu=3611031021100010020&amp;isNoScr=script&amp;mode=search", "토지이음")</f>
        <v/>
      </c>
      <c r="O1525" s="3" t="inlineStr">
        <is>
          <t>세종대박</t>
        </is>
      </c>
      <c r="P1525" s="4" t="n">
        <v>1</v>
      </c>
      <c r="Q1525" s="4" t="n">
        <v>319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1-51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27000</v>
      </c>
      <c r="G1526" s="4" t="n">
        <v>289</v>
      </c>
      <c r="H1526" s="4" t="n">
        <v>87</v>
      </c>
      <c r="I1526" s="5" t="n">
        <v>310.3</v>
      </c>
      <c r="J1526" s="5" t="n">
        <v>122.2</v>
      </c>
      <c r="K1526" s="3" t="inlineStr">
        <is>
          <t>개발가능한 토지,다가구 등</t>
        </is>
      </c>
      <c r="L1526" s="6">
        <f>HYPERLINK("https://fin.land.naver.com/articles/2650858541", "매물Link")</f>
        <v/>
      </c>
      <c r="M1526" s="6">
        <f>HYPERLINK("https://map.naver.com/p/search/연기면 연기리 1-51", "지도Link")</f>
        <v/>
      </c>
      <c r="N1526" s="6">
        <f>HYPERLINK("http://www.eum.go.kr/web/ar/lu/luLandDet.jsp?pnu=3611031021100010051&amp;isNoScr=script&amp;mode=search", "토지이음")</f>
        <v/>
      </c>
      <c r="O1526" s="3" t="inlineStr">
        <is>
          <t>세종대박</t>
        </is>
      </c>
      <c r="P1526" s="4" t="n">
        <v>2</v>
      </c>
      <c r="Q1526" s="4" t="n">
        <v>288.9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연기면 연기리 1-56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568</v>
      </c>
      <c r="H1527" s="4" t="n">
        <v>172</v>
      </c>
      <c r="I1527" s="5" t="n">
        <v>232.6</v>
      </c>
      <c r="J1527" s="5" t="n">
        <v>175.7</v>
      </c>
      <c r="K1527" s="3" t="inlineStr">
        <is>
          <t>계획관리 토지매매시세대비 저렴하게 나온 매물</t>
        </is>
      </c>
      <c r="L1527" s="6">
        <f>HYPERLINK("https://fin.land.naver.com/articles/2655258992", "매물Link")</f>
        <v/>
      </c>
      <c r="M1527" s="6">
        <f>HYPERLINK("https://map.naver.com/p/search/연기면 연기리 1-56", "지도Link")</f>
        <v/>
      </c>
      <c r="N1527" s="6">
        <f>HYPERLINK("http://www.eum.go.kr/web/ar/lu/luLandDet.jsp?pnu=3611031021100010056&amp;isNoScr=script&amp;mode=search",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99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연기면 연기리 1-56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568</v>
      </c>
      <c r="H1528" s="4" t="n">
        <v>172</v>
      </c>
      <c r="I1528" s="5" t="n">
        <v>261.6</v>
      </c>
      <c r="J1528" s="5" t="n">
        <v>175.7</v>
      </c>
      <c r="K1528" s="3" t="inlineStr">
        <is>
          <t>급매 시세대비 저렴한 토지 계획관리.주거개발진흥지구.지구단위계획구역</t>
        </is>
      </c>
      <c r="L1528" s="6">
        <f>HYPERLINK("https://fin.land.naver.com/articles/2656145022", "매물Link")</f>
        <v/>
      </c>
      <c r="M1528" s="6">
        <f>HYPERLINK("https://map.naver.com/p/search/연기면 연기리 1-56", "지도Link")</f>
        <v/>
      </c>
      <c r="N1528" s="6">
        <f>HYPERLINK("http://www.eum.go.kr/web/ar/lu/luLandDet.jsp?pnu=3611031021100010056&amp;isNoScr=script&amp;mode=search", "토지이음")</f>
        <v/>
      </c>
      <c r="O1528" s="3" t="inlineStr">
        <is>
          <t>은주</t>
        </is>
      </c>
      <c r="P1528" s="4" t="n">
        <v>2</v>
      </c>
      <c r="Q1528" s="4" t="n">
        <v>99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1-8</t>
        </is>
      </c>
      <c r="B1529" s="3" t="inlineStr">
        <is>
          <t>계획관리지역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20000</v>
      </c>
      <c r="G1529" s="4" t="n">
        <v>202</v>
      </c>
      <c r="H1529" s="4" t="n">
        <v>61</v>
      </c>
      <c r="I1529" s="5" t="n">
        <v>327.9</v>
      </c>
      <c r="J1529" s="5" t="n">
        <v>175.7</v>
      </c>
      <c r="K1529" s="3" t="inlineStr">
        <is>
          <t>계획관리지역 내 네모반듯한 토지</t>
        </is>
      </c>
      <c r="L1529" s="6">
        <f>HYPERLINK("https://fin.land.naver.com/articles/2653884325", "매물Link")</f>
        <v/>
      </c>
      <c r="M1529" s="6">
        <f>HYPERLINK("https://map.naver.com/p/search/연기면 연기리 1-8", "지도Link")</f>
        <v/>
      </c>
      <c r="N1529" s="6">
        <f>HYPERLINK("http://www.eum.go.kr/web/ar/lu/luLandDet.jsp?pnu=3611031021100010008&amp;isNoScr=script&amp;mode=search", "토지이음")</f>
        <v/>
      </c>
      <c r="O1529" s="3" t="inlineStr">
        <is>
          <t>KS</t>
        </is>
      </c>
      <c r="P1529" s="4" t="n">
        <v>1</v>
      </c>
      <c r="Q1529" s="4" t="n">
        <v>202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연기면 연기리 1-8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19000</v>
      </c>
      <c r="G1530" s="4" t="n">
        <v>202</v>
      </c>
      <c r="H1530" s="4" t="n">
        <v>61</v>
      </c>
      <c r="I1530" s="5" t="n">
        <v>311.5</v>
      </c>
      <c r="J1530" s="5" t="n">
        <v>175.7</v>
      </c>
      <c r="K1530" s="3" t="inlineStr">
        <is>
          <t>계획관리 토지건축,투자</t>
        </is>
      </c>
      <c r="L1530" s="6">
        <f>HYPERLINK("https://fin.land.naver.com/articles/2650858549", "매물Link")</f>
        <v/>
      </c>
      <c r="M1530" s="6">
        <f>HYPERLINK("https://map.naver.com/p/search/연기면 연기리 1-8", "지도Link")</f>
        <v/>
      </c>
      <c r="N1530" s="6">
        <f>HYPERLINK("http://www.eum.go.kr/web/ar/lu/luLandDet.jsp?pnu=3611031021100010008&amp;isNoScr=script&amp;mode=search", "토지이음")</f>
        <v/>
      </c>
      <c r="O1530" s="3" t="inlineStr">
        <is>
          <t>세종대박</t>
        </is>
      </c>
      <c r="P1530" s="4" t="n">
        <v>1</v>
      </c>
      <c r="Q1530" s="4" t="n">
        <v>202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연기면 연기리 1-94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568</v>
      </c>
      <c r="H1531" s="4" t="n">
        <v>172</v>
      </c>
      <c r="I1531" s="5" t="n">
        <v>261.6</v>
      </c>
      <c r="J1531" s="5" t="n">
        <v>175.7</v>
      </c>
      <c r="K1531" s="3" t="inlineStr">
        <is>
          <t>nan</t>
        </is>
      </c>
      <c r="L1531" s="6">
        <f>HYPERLINK("https://fin.land.naver.com/articles/2654794957", "매물Link")</f>
        <v/>
      </c>
      <c r="M1531" s="6">
        <f>HYPERLINK("https://map.naver.com/p/search/연기면 연기리 1-94", "지도Link")</f>
        <v/>
      </c>
      <c r="N1531" s="6">
        <f>HYPERLINK("http://www.eum.go.kr/web/ar/lu/luLandDet.jsp?pnu=3611031021100010094&amp;isNoScr=script&amp;mode=search", "토지이음")</f>
        <v/>
      </c>
      <c r="O1531" s="3" t="inlineStr">
        <is>
          <t>다옴</t>
        </is>
      </c>
      <c r="P1531" s="4" t="n">
        <v>1</v>
      </c>
      <c r="Q1531" s="4" t="n">
        <v>186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1-95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568</v>
      </c>
      <c r="H1532" s="4" t="n">
        <v>172</v>
      </c>
      <c r="I1532" s="5" t="n">
        <v>348.8</v>
      </c>
      <c r="J1532" s="5" t="n">
        <v>175.7</v>
      </c>
      <c r="K1532" s="3" t="inlineStr">
        <is>
          <t>연기리 토지 매매</t>
        </is>
      </c>
      <c r="L1532" s="6">
        <f>HYPERLINK("https://fin.land.naver.com/articles/2654532407", "매물Link")</f>
        <v/>
      </c>
      <c r="M1532" s="6">
        <f>HYPERLINK("https://map.naver.com/p/search/연기면 연기리 1-95", "지도Link")</f>
        <v/>
      </c>
      <c r="N1532" s="6">
        <f>HYPERLINK("http://www.eum.go.kr/web/ar/lu/luLandDet.jsp?pnu=3611031021100010095&amp;isNoScr=script&amp;mode=search", "토지이음")</f>
        <v/>
      </c>
      <c r="O1532" s="3" t="inlineStr">
        <is>
          <t>김준희</t>
        </is>
      </c>
      <c r="P1532" s="4" t="n">
        <v>1</v>
      </c>
      <c r="Q1532" s="4" t="n">
        <v>151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연기면 연기리 10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70000</v>
      </c>
      <c r="G1533" s="4" t="n">
        <v>529</v>
      </c>
      <c r="H1533" s="4" t="n">
        <v>160</v>
      </c>
      <c r="I1533" s="5" t="n">
        <v>437.5</v>
      </c>
      <c r="J1533" s="5" t="n">
        <v>78.3</v>
      </c>
      <c r="K1533" s="3" t="inlineStr">
        <is>
          <t>세종시 연기리 수용되는 지구단위계획과 인접한 토지로 투자가치가 높습니다.</t>
        </is>
      </c>
      <c r="L1533" s="6">
        <f>HYPERLINK("https://fin.land.naver.com/articles/2651396896", "매물Link")</f>
        <v/>
      </c>
      <c r="M1533" s="6">
        <f>HYPERLINK("https://map.naver.com/p/search/연기면 연기리 10", "지도Link")</f>
        <v/>
      </c>
      <c r="N1533" s="6">
        <f>HYPERLINK("http://www.eum.go.kr/web/ar/lu/luLandDet.jsp?pnu=3611031021100100000&amp;isNoScr=script&amp;mode=search", "토지이음")</f>
        <v/>
      </c>
      <c r="O1533" s="3" t="inlineStr">
        <is>
          <t>리더스</t>
        </is>
      </c>
      <c r="P1533" s="4" t="n">
        <v>1</v>
      </c>
      <c r="Q1533" s="4" t="n">
        <v>529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맹지</t>
        </is>
      </c>
    </row>
    <row r="1534">
      <c r="A1534" s="3" t="inlineStr">
        <is>
          <t>연기면 연기리 11-3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68000</v>
      </c>
      <c r="G1534" s="4" t="n">
        <v>639</v>
      </c>
      <c r="H1534" s="4" t="n">
        <v>193</v>
      </c>
      <c r="I1534" s="5" t="n">
        <v>352.3</v>
      </c>
      <c r="J1534" s="5" t="n">
        <v>83</v>
      </c>
      <c r="K1534" s="3" t="inlineStr">
        <is>
          <t>접근성 좋은 계획관리 지역 토지매매, 도로지분 포함</t>
        </is>
      </c>
      <c r="L1534" s="6">
        <f>HYPERLINK("https://fin.land.naver.com/articles/2650940285", "매물Link")</f>
        <v/>
      </c>
      <c r="M1534" s="6">
        <f>HYPERLINK("https://map.naver.com/p/search/연기면 연기리 11-3", "지도Link")</f>
        <v/>
      </c>
      <c r="N1534" s="6">
        <f>HYPERLINK("http://www.eum.go.kr/web/ar/lu/luLandDet.jsp?pnu=3611031021100110003&amp;isNoScr=script&amp;mode=search", "토지이음")</f>
        <v/>
      </c>
      <c r="O1534" s="3" t="inlineStr">
        <is>
          <t>OK세종 사무소</t>
        </is>
      </c>
      <c r="P1534" s="4" t="n">
        <v>1</v>
      </c>
      <c r="Q1534" s="4" t="n">
        <v>543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연기면 연기리 11-3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68000</v>
      </c>
      <c r="G1535" s="4" t="n">
        <v>543</v>
      </c>
      <c r="H1535" s="4" t="n">
        <v>164</v>
      </c>
      <c r="I1535" s="5" t="n">
        <v>414.6</v>
      </c>
      <c r="J1535" s="5" t="n">
        <v>83</v>
      </c>
      <c r="K1535" s="3" t="inlineStr">
        <is>
          <t>계획관리지역, 추천매매</t>
        </is>
      </c>
      <c r="L1535" s="6">
        <f>HYPERLINK("https://fin.land.naver.com/articles/2651520095", "매물Link")</f>
        <v/>
      </c>
      <c r="M1535" s="6">
        <f>HYPERLINK("https://map.naver.com/p/search/연기면 연기리 11-3", "지도Link")</f>
        <v/>
      </c>
      <c r="N1535" s="6">
        <f>HYPERLINK("http://www.eum.go.kr/web/ar/lu/luLandDet.jsp?pnu=3611031021100110003&amp;isNoScr=script&amp;mode=search", "토지이음")</f>
        <v/>
      </c>
      <c r="O1535" s="3" t="inlineStr">
        <is>
          <t>Home</t>
        </is>
      </c>
      <c r="P1535" s="4" t="n">
        <v>2</v>
      </c>
      <c r="Q1535" s="4" t="n">
        <v>543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연기면 연기리 148-4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122000</v>
      </c>
      <c r="G1536" s="4" t="n">
        <v>1605</v>
      </c>
      <c r="H1536" s="4" t="n">
        <v>486</v>
      </c>
      <c r="I1536" s="5" t="n">
        <v>251</v>
      </c>
      <c r="J1536" s="5" t="n">
        <v>89.90000000000001</v>
      </c>
      <c r="K1536" s="3" t="inlineStr">
        <is>
          <t>도로접한 토지</t>
        </is>
      </c>
      <c r="L1536" s="6">
        <f>HYPERLINK("https://fin.land.naver.com/articles/2655032735", "매물Link")</f>
        <v/>
      </c>
      <c r="M1536" s="6">
        <f>HYPERLINK("https://map.naver.com/p/search/연기면 연기리 148-4", "지도Link")</f>
        <v/>
      </c>
      <c r="N1536" s="6">
        <f>HYPERLINK("http://www.eum.go.kr/web/ar/lu/luLandDet.jsp?pnu=3611031021101480004&amp;isNoScr=script&amp;mode=search",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1605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세로한면(불)</t>
        </is>
      </c>
    </row>
    <row r="1537">
      <c r="A1537" s="3" t="inlineStr">
        <is>
          <t>연기면 연기리 21-1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61200</v>
      </c>
      <c r="G1537" s="4" t="n">
        <v>673</v>
      </c>
      <c r="H1537" s="4" t="n">
        <v>204</v>
      </c>
      <c r="I1537" s="5" t="n">
        <v>300</v>
      </c>
      <c r="J1537" s="5" t="n">
        <v>143.2</v>
      </c>
      <c r="K1537" s="3" t="inlineStr">
        <is>
          <t>저렴한 가격의 계획관리 토지 매매</t>
        </is>
      </c>
      <c r="L1537" s="6">
        <f>HYPERLINK("https://fin.land.naver.com/articles/2655086002", "매물Link")</f>
        <v/>
      </c>
      <c r="M1537" s="6">
        <f>HYPERLINK("https://map.naver.com/p/search/연기면 연기리 21-1", "지도Link")</f>
        <v/>
      </c>
      <c r="N1537" s="6">
        <f>HYPERLINK("http://www.eum.go.kr/web/ar/lu/luLandDet.jsp?pnu=3611031021100210001&amp;isNoScr=script&amp;mode=search",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642.5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333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136000</v>
      </c>
      <c r="G1538" s="4" t="n">
        <v>1404</v>
      </c>
      <c r="H1538" s="4" t="n">
        <v>425</v>
      </c>
      <c r="I1538" s="5" t="n">
        <v>320</v>
      </c>
      <c r="J1538" s="5" t="n">
        <v>141.3</v>
      </c>
      <c r="K1538" s="3" t="inlineStr">
        <is>
          <t>2개필지 대지와 전이 포함됨</t>
        </is>
      </c>
      <c r="L1538" s="6">
        <f>HYPERLINK("https://fin.land.naver.com/articles/2653807390", "매물Link")</f>
        <v/>
      </c>
      <c r="M1538" s="6">
        <f>HYPERLINK("https://map.naver.com/p/search/연기면 연기리 333", "지도Link")</f>
        <v/>
      </c>
      <c r="N1538" s="6">
        <f>HYPERLINK("http://www.eum.go.kr/web/ar/lu/luLandDet.jsp?pnu=3611031021103330000&amp;isNoScr=script&amp;mode=search", "토지이음")</f>
        <v/>
      </c>
      <c r="O1538" s="3" t="inlineStr">
        <is>
          <t>초가집</t>
        </is>
      </c>
      <c r="P1538" s="4" t="n">
        <v>1</v>
      </c>
      <c r="Q1538" s="4" t="n">
        <v>461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333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136000</v>
      </c>
      <c r="G1539" s="4" t="n">
        <v>1406</v>
      </c>
      <c r="H1539" s="4" t="n">
        <v>425</v>
      </c>
      <c r="I1539" s="5" t="n">
        <v>320</v>
      </c>
      <c r="J1539" s="5" t="n">
        <v>141.3</v>
      </c>
      <c r="K1539" s="3" t="inlineStr">
        <is>
          <t>단독주택있는 대지,전 토지계획관리지역</t>
        </is>
      </c>
      <c r="L1539" s="6">
        <f>HYPERLINK("https://fin.land.naver.com/articles/2655169402", "매물Link")</f>
        <v/>
      </c>
      <c r="M1539" s="6">
        <f>HYPERLINK("https://map.naver.com/p/search/연기면 연기리 333", "지도Link")</f>
        <v/>
      </c>
      <c r="N1539" s="6">
        <f>HYPERLINK("http://www.eum.go.kr/web/ar/lu/luLandDet.jsp?pnu=3611031021103330000&amp;isNoScr=script&amp;mode=search",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461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연기리 38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800000</v>
      </c>
      <c r="G1540" s="4" t="n">
        <v>3526</v>
      </c>
      <c r="H1540" s="4" t="n">
        <v>1067</v>
      </c>
      <c r="I1540" s="5" t="n">
        <v>749.8</v>
      </c>
      <c r="J1540" s="5" t="n">
        <v>87.59999999999999</v>
      </c>
      <c r="K1540" s="3" t="inlineStr">
        <is>
          <t>대형마트.세종시 생활권 연계.계획관리지역.근린시설검토가능.차량접근용이</t>
        </is>
      </c>
      <c r="L1540" s="6">
        <f>HYPERLINK("https://fin.land.naver.com/articles/2651880236", "매물Link")</f>
        <v/>
      </c>
      <c r="M1540" s="6">
        <f>HYPERLINK("https://map.naver.com/p/search/연기면 연기리 38", "지도Link")</f>
        <v/>
      </c>
      <c r="N1540" s="6">
        <f>HYPERLINK("http://www.eum.go.kr/web/ar/lu/luLandDet.jsp?pnu=3611031021100380000&amp;isNoScr=script&amp;mode=search", "토지이음")</f>
        <v/>
      </c>
      <c r="O1540" s="3" t="inlineStr">
        <is>
          <t>씨티</t>
        </is>
      </c>
      <c r="P1540" s="4" t="n">
        <v>1</v>
      </c>
      <c r="Q1540" s="4" t="n">
        <v>2440.4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연기면 연기리 392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160000</v>
      </c>
      <c r="G1541" s="4" t="n">
        <v>1053</v>
      </c>
      <c r="H1541" s="4" t="n">
        <v>319</v>
      </c>
      <c r="I1541" s="5" t="n">
        <v>501.6</v>
      </c>
      <c r="J1541" s="5" t="n">
        <v>200.8</v>
      </c>
      <c r="K1541" s="3" t="inlineStr">
        <is>
          <t>계획관리  주택1동 있는 나대지</t>
        </is>
      </c>
      <c r="L1541" s="6">
        <f>HYPERLINK("https://fin.land.naver.com/articles/2655032751", "매물Link")</f>
        <v/>
      </c>
      <c r="M1541" s="6">
        <f>HYPERLINK("https://map.naver.com/p/search/연기면 연기리 392", "지도Link")</f>
        <v/>
      </c>
      <c r="N1541" s="6">
        <f>HYPERLINK("http://www.eum.go.kr/web/ar/lu/luLandDet.jsp?pnu=3611031021103920000&amp;isNoScr=script&amp;mode=search",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502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연기리 412-4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53000</v>
      </c>
      <c r="G1542" s="4" t="n">
        <v>317</v>
      </c>
      <c r="H1542" s="4" t="n">
        <v>96</v>
      </c>
      <c r="I1542" s="5" t="n">
        <v>552.1</v>
      </c>
      <c r="J1542" s="5" t="n">
        <v>118.6</v>
      </c>
      <c r="K1542" s="3" t="inlineStr">
        <is>
          <t>계획관리지역 토지매매</t>
        </is>
      </c>
      <c r="L1542" s="6">
        <f>HYPERLINK("https://fin.land.naver.com/articles/2651403829", "매물Link")</f>
        <v/>
      </c>
      <c r="M1542" s="6">
        <f>HYPERLINK("https://map.naver.com/p/search/연기면 연기리 412-4", "지도Link")</f>
        <v/>
      </c>
      <c r="N1542" s="6">
        <f>HYPERLINK("http://www.eum.go.kr/web/ar/lu/luLandDet.jsp?pnu=3611031021104120004&amp;isNoScr=script&amp;mode=search",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317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연기면 연기리 420-16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144000</v>
      </c>
      <c r="G1543" s="4" t="n">
        <v>1541</v>
      </c>
      <c r="H1543" s="4" t="n">
        <v>466</v>
      </c>
      <c r="I1543" s="5" t="n">
        <v>309</v>
      </c>
      <c r="J1543" s="5" t="n">
        <v>98.5</v>
      </c>
      <c r="K1543" s="3" t="inlineStr">
        <is>
          <t>도로에 접한 계획관리토지</t>
        </is>
      </c>
      <c r="L1543" s="6">
        <f>HYPERLINK("https://fin.land.naver.com/articles/2655032736", "매물Link")</f>
        <v/>
      </c>
      <c r="M1543" s="6">
        <f>HYPERLINK("https://map.naver.com/p/search/연기면 연기리 420-16", "지도Link")</f>
        <v/>
      </c>
      <c r="N1543" s="6">
        <f>HYPERLINK("http://www.eum.go.kr/web/ar/lu/luLandDet.jsp?pnu=3611031021104200016&amp;isNoScr=script&amp;mode=search",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277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연기면 연기리 426-1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290000</v>
      </c>
      <c r="G1544" s="4" t="n">
        <v>1603</v>
      </c>
      <c r="H1544" s="4" t="n">
        <v>485</v>
      </c>
      <c r="I1544" s="5" t="n">
        <v>597.9</v>
      </c>
      <c r="J1544" s="5" t="n">
        <v>188.3</v>
      </c>
      <c r="K1544" s="3" t="inlineStr">
        <is>
          <t>투자하기 좋은 계획관리 대지</t>
        </is>
      </c>
      <c r="L1544" s="6">
        <f>HYPERLINK("https://fin.land.naver.com/articles/2655169427", "매물Link")</f>
        <v/>
      </c>
      <c r="M1544" s="6">
        <f>HYPERLINK("https://map.naver.com/p/search/연기면 연기리 426-1", "지도Link")</f>
        <v/>
      </c>
      <c r="N1544" s="6">
        <f>HYPERLINK("http://www.eum.go.kr/web/ar/lu/luLandDet.jsp?pnu=3611031021104260001&amp;isNoScr=script&amp;mode=search", "토지이음")</f>
        <v/>
      </c>
      <c r="O1544" s="3" t="inlineStr">
        <is>
          <t>세종대박</t>
        </is>
      </c>
      <c r="P1544" s="4" t="n">
        <v>2</v>
      </c>
      <c r="Q1544" s="4" t="n">
        <v>894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연기면 연기리 431-1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372000</v>
      </c>
      <c r="G1545" s="4" t="n">
        <v>1229</v>
      </c>
      <c r="H1545" s="4" t="n">
        <v>372</v>
      </c>
      <c r="I1545" s="5" t="n">
        <v>1000</v>
      </c>
      <c r="J1545" s="5" t="n">
        <v>258</v>
      </c>
      <c r="K1545" s="3" t="inlineStr">
        <is>
          <t>2차선도로변 토지매매</t>
        </is>
      </c>
      <c r="L1545" s="6">
        <f>HYPERLINK("https://fin.land.naver.com/articles/2650858540", "매물Link")</f>
        <v/>
      </c>
      <c r="M1545" s="6">
        <f>HYPERLINK("https://map.naver.com/p/search/연기면 연기리 431-1", "지도Link")</f>
        <v/>
      </c>
      <c r="N1545" s="6">
        <f>HYPERLINK("http://www.eum.go.kr/web/ar/lu/luLandDet.jsp?pnu=3611031021104310001&amp;isNoScr=script&amp;mode=search",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936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중로한면</t>
        </is>
      </c>
    </row>
    <row r="1546">
      <c r="A1546" s="3" t="inlineStr">
        <is>
          <t>연기면 연기리 466-2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110000</v>
      </c>
      <c r="G1546" s="4" t="n">
        <v>1309</v>
      </c>
      <c r="H1546" s="4" t="n">
        <v>396</v>
      </c>
      <c r="I1546" s="5" t="n">
        <v>277.8</v>
      </c>
      <c r="J1546" s="5" t="n">
        <v>66</v>
      </c>
      <c r="K1546" s="3" t="inlineStr">
        <is>
          <t>계획관리지역 토지소방도로 계획됨</t>
        </is>
      </c>
      <c r="L1546" s="6">
        <f>HYPERLINK("https://fin.land.naver.com/articles/2650858539", "매물Link")</f>
        <v/>
      </c>
      <c r="M1546" s="6">
        <f>HYPERLINK("https://map.naver.com/p/search/연기면 연기리 466-2", "지도Link")</f>
        <v/>
      </c>
      <c r="N1546" s="6">
        <f>HYPERLINK("http://www.eum.go.kr/web/ar/lu/luLandDet.jsp?pnu=3611031021104660002&amp;isNoScr=script&amp;mode=search",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892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연기면 연기리 466-2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110000</v>
      </c>
      <c r="G1547" s="4" t="n">
        <v>1309</v>
      </c>
      <c r="H1547" s="4" t="n">
        <v>396</v>
      </c>
      <c r="I1547" s="5" t="n">
        <v>277.8</v>
      </c>
      <c r="J1547" s="5" t="n">
        <v>66</v>
      </c>
      <c r="K1547" s="3" t="inlineStr">
        <is>
          <t>계획관리지역,세종도심5분거리 도로예정지역으로개통시지가상승 투자용추천</t>
        </is>
      </c>
      <c r="L1547" s="6">
        <f>HYPERLINK("https://fin.land.naver.com/articles/2652731969", "매물Link")</f>
        <v/>
      </c>
      <c r="M1547" s="6">
        <f>HYPERLINK("https://map.naver.com/p/search/연기면 연기리 466-2", "지도Link")</f>
        <v/>
      </c>
      <c r="N1547" s="6">
        <f>HYPERLINK("http://www.eum.go.kr/web/ar/lu/luLandDet.jsp?pnu=3611031021104660002&amp;isNoScr=script&amp;mode=search", "토지이음")</f>
        <v/>
      </c>
      <c r="O1547" s="3" t="inlineStr">
        <is>
          <t>하트리움</t>
        </is>
      </c>
      <c r="P1547" s="4" t="n">
        <v>1</v>
      </c>
      <c r="Q1547" s="4" t="n">
        <v>892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연기면 연기리 466-6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150000</v>
      </c>
      <c r="G1548" s="4" t="n">
        <v>1667</v>
      </c>
      <c r="H1548" s="4" t="n">
        <v>504</v>
      </c>
      <c r="I1548" s="5" t="n">
        <v>297.6</v>
      </c>
      <c r="J1548" s="5" t="n">
        <v>66</v>
      </c>
      <c r="K1548" s="3" t="inlineStr">
        <is>
          <t>계획관리토지 매매</t>
        </is>
      </c>
      <c r="L1548" s="6">
        <f>HYPERLINK("https://fin.land.naver.com/articles/2650859605", "매물Link")</f>
        <v/>
      </c>
      <c r="M1548" s="6">
        <f>HYPERLINK("https://map.naver.com/p/search/연기면 연기리 466-6", "지도Link")</f>
        <v/>
      </c>
      <c r="N1548" s="6">
        <f>HYPERLINK("http://www.eum.go.kr/web/ar/lu/luLandDet.jsp?pnu=3611031021104660006&amp;isNoScr=script&amp;mode=search", "토지이음")</f>
        <v/>
      </c>
      <c r="O1548" s="3" t="inlineStr">
        <is>
          <t>세종대박</t>
        </is>
      </c>
      <c r="P1548" s="4" t="n">
        <v>1</v>
      </c>
      <c r="Q1548" s="4" t="n">
        <v>1214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연기면 연기리 483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430000</v>
      </c>
      <c r="G1549" s="4" t="n">
        <v>1413</v>
      </c>
      <c r="H1549" s="4" t="n">
        <v>427</v>
      </c>
      <c r="I1549" s="5" t="n">
        <v>1007</v>
      </c>
      <c r="J1549" s="5" t="n">
        <v>293.7</v>
      </c>
      <c r="K1549" s="3" t="inlineStr">
        <is>
          <t>대도로변 땅  전문유통매장</t>
        </is>
      </c>
      <c r="L1549" s="6">
        <f>HYPERLINK("https://fin.land.naver.com/articles/2652946920", "매물Link")</f>
        <v/>
      </c>
      <c r="M1549" s="6">
        <f>HYPERLINK("https://map.naver.com/p/search/연기면 연기리 483", "지도Link")</f>
        <v/>
      </c>
      <c r="N1549" s="6">
        <f>HYPERLINK("http://www.eum.go.kr/web/ar/lu/luLandDet.jsp?pnu=3611031021104830000&amp;isNoScr=script&amp;mode=search", "토지이음")</f>
        <v/>
      </c>
      <c r="O1549" s="3" t="inlineStr">
        <is>
          <t>세종천지</t>
        </is>
      </c>
      <c r="P1549" s="4" t="n">
        <v>1</v>
      </c>
      <c r="Q1549" s="4" t="n">
        <v>706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484-2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320000</v>
      </c>
      <c r="G1550" s="4" t="n">
        <v>1000</v>
      </c>
      <c r="H1550" s="4" t="n">
        <v>302</v>
      </c>
      <c r="I1550" s="5" t="n">
        <v>1059.6</v>
      </c>
      <c r="J1550" s="5" t="n">
        <v>237.7</v>
      </c>
      <c r="K1550" s="3" t="inlineStr">
        <is>
          <t>명성공인, 1번국도 대로변 광고효과 좋은 추천 매물</t>
        </is>
      </c>
      <c r="L1550" s="6">
        <f>HYPERLINK("https://fin.land.naver.com/articles/2652072495", "매물Link")</f>
        <v/>
      </c>
      <c r="M1550" s="6">
        <f>HYPERLINK("https://map.naver.com/p/search/연기면 연기리 484-2", "지도Link")</f>
        <v/>
      </c>
      <c r="N1550" s="6">
        <f>HYPERLINK("http://www.eum.go.kr/web/ar/lu/luLandDet.jsp?pnu=3611031021104840002&amp;isNoScr=script&amp;mode=search", "토지이음")</f>
        <v/>
      </c>
      <c r="O1550" s="3" t="inlineStr">
        <is>
          <t>명성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상업용</t>
        </is>
      </c>
      <c r="T1550" s="3" t="inlineStr">
        <is>
          <t>완경사</t>
        </is>
      </c>
      <c r="U1550" s="3" t="inlineStr">
        <is>
          <t>자루형</t>
        </is>
      </c>
      <c r="V1550" s="3" t="inlineStr">
        <is>
          <t>중로한면</t>
        </is>
      </c>
    </row>
    <row r="1551">
      <c r="A1551" s="3" t="inlineStr">
        <is>
          <t>연기면 연기리 485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400000</v>
      </c>
      <c r="G1551" s="4" t="n">
        <v>1892</v>
      </c>
      <c r="H1551" s="4" t="n">
        <v>572</v>
      </c>
      <c r="I1551" s="5" t="n">
        <v>699.3</v>
      </c>
      <c r="J1551" s="5" t="n">
        <v>255</v>
      </c>
      <c r="K1551" s="3" t="inlineStr">
        <is>
          <t>1번국도에 접함.</t>
        </is>
      </c>
      <c r="L1551" s="6">
        <f>HYPERLINK("https://fin.land.naver.com/articles/2654851946", "매물Link")</f>
        <v/>
      </c>
      <c r="M1551" s="6">
        <f>HYPERLINK("https://map.naver.com/p/search/연기면 연기리 485", "지도Link")</f>
        <v/>
      </c>
      <c r="N1551" s="6">
        <f>HYPERLINK("http://www.eum.go.kr/web/ar/lu/luLandDet.jsp?pnu=3611031021104850000&amp;isNoScr=script&amp;mode=search", "토지이음")</f>
        <v/>
      </c>
      <c r="O1551" s="3" t="inlineStr">
        <is>
          <t>세종리츠</t>
        </is>
      </c>
      <c r="P1551" s="4" t="n">
        <v>1</v>
      </c>
      <c r="Q1551" s="4" t="n">
        <v>1295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중로한면</t>
        </is>
      </c>
    </row>
    <row r="1552">
      <c r="A1552" s="3" t="inlineStr">
        <is>
          <t>연기면 연기리 495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580000</v>
      </c>
      <c r="G1552" s="4" t="n">
        <v>2740</v>
      </c>
      <c r="H1552" s="4" t="n">
        <v>829</v>
      </c>
      <c r="I1552" s="5" t="n">
        <v>699.6</v>
      </c>
      <c r="J1552" s="5" t="n">
        <v>297.7</v>
      </c>
      <c r="K1552" s="3" t="inlineStr">
        <is>
          <t>연기리 계획관리구역 접근성좋은  2차선도로접한 토지매매</t>
        </is>
      </c>
      <c r="L1552" s="6">
        <f>HYPERLINK("https://fin.land.naver.com/articles/2653882347", "매물Link")</f>
        <v/>
      </c>
      <c r="M1552" s="6">
        <f>HYPERLINK("https://map.naver.com/p/search/연기면 연기리 495", "지도Link")</f>
        <v/>
      </c>
      <c r="N1552" s="6">
        <f>HYPERLINK("http://www.eum.go.kr/web/ar/lu/luLandDet.jsp?pnu=3611031021104950000&amp;isNoScr=script&amp;mode=search", "토지이음")</f>
        <v/>
      </c>
      <c r="O1552" s="3" t="inlineStr">
        <is>
          <t>새롬삼둥이</t>
        </is>
      </c>
      <c r="P1552" s="4" t="n">
        <v>1</v>
      </c>
      <c r="Q1552" s="4" t="n">
        <v>2740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495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550000</v>
      </c>
      <c r="G1553" s="4" t="n">
        <v>2740</v>
      </c>
      <c r="H1553" s="4" t="n">
        <v>829</v>
      </c>
      <c r="I1553" s="5" t="n">
        <v>663.4</v>
      </c>
      <c r="J1553" s="5" t="n">
        <v>297.7</v>
      </c>
      <c r="K1553" s="3" t="inlineStr">
        <is>
          <t>2차선도로접 평당가 저렴, 분필하여 매도 가능합니다.</t>
        </is>
      </c>
      <c r="L1553" s="6">
        <f>HYPERLINK("https://fin.land.naver.com/articles/2652193414", "매물Link")</f>
        <v/>
      </c>
      <c r="M1553" s="6">
        <f>HYPERLINK("https://map.naver.com/p/search/연기면 연기리 495", "지도Link")</f>
        <v/>
      </c>
      <c r="N1553" s="6">
        <f>HYPERLINK("http://www.eum.go.kr/web/ar/lu/luLandDet.jsp?pnu=3611031021104950000&amp;isNoScr=script&amp;mode=search", "토지이음")</f>
        <v/>
      </c>
      <c r="O1553" s="3" t="inlineStr">
        <is>
          <t>대실반석</t>
        </is>
      </c>
      <c r="P1553" s="4" t="n">
        <v>1</v>
      </c>
      <c r="Q1553" s="4" t="n">
        <v>2740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연기면 연기리 498-6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275000</v>
      </c>
      <c r="G1554" s="4" t="n">
        <v>1467</v>
      </c>
      <c r="H1554" s="4" t="n">
        <v>444</v>
      </c>
      <c r="I1554" s="5" t="n">
        <v>619.4</v>
      </c>
      <c r="J1554" s="5" t="n">
        <v>283.5</v>
      </c>
      <c r="K1554" s="3" t="inlineStr">
        <is>
          <t>2차선 도로변에 있는 계획관리 토지</t>
        </is>
      </c>
      <c r="L1554" s="6">
        <f>HYPERLINK("https://fin.land.naver.com/articles/2655059996", "매물Link")</f>
        <v/>
      </c>
      <c r="M1554" s="6">
        <f>HYPERLINK("https://map.naver.com/p/search/연기면 연기리 498-6", "지도Link")</f>
        <v/>
      </c>
      <c r="N1554" s="6">
        <f>HYPERLINK("http://www.eum.go.kr/web/ar/lu/luLandDet.jsp?pnu=3611031021104980006&amp;isNoScr=script&amp;mode=search",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1467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중로한면</t>
        </is>
      </c>
    </row>
    <row r="1555">
      <c r="A1555" s="3" t="inlineStr">
        <is>
          <t>연기면 연기리 5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120000</v>
      </c>
      <c r="G1555" s="4" t="n">
        <v>995</v>
      </c>
      <c r="H1555" s="4" t="n">
        <v>301</v>
      </c>
      <c r="I1555" s="5" t="n">
        <v>398.7</v>
      </c>
      <c r="J1555" s="5" t="n">
        <v>175.7</v>
      </c>
      <c r="K1555" s="3" t="inlineStr">
        <is>
          <t>6생 접한 가치상승중인 연기리 토지. 6생활권 트인뷰</t>
        </is>
      </c>
      <c r="L1555" s="6">
        <f>HYPERLINK("https://fin.land.naver.com/articles/2653885026", "매물Link")</f>
        <v/>
      </c>
      <c r="M1555" s="6">
        <f>HYPERLINK("https://map.naver.com/p/search/연기면 연기리 5", "지도Link")</f>
        <v/>
      </c>
      <c r="N1555" s="6">
        <f>HYPERLINK("http://www.eum.go.kr/web/ar/lu/luLandDet.jsp?pnu=3611031021100050000&amp;isNoScr=script&amp;mode=search", "토지이음")</f>
        <v/>
      </c>
      <c r="O1555" s="3" t="inlineStr">
        <is>
          <t>새롬삼둥이</t>
        </is>
      </c>
      <c r="P1555" s="4" t="n">
        <v>1</v>
      </c>
      <c r="Q1555" s="4" t="n">
        <v>995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연기면 연기리 500-11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130000</v>
      </c>
      <c r="G1556" s="4" t="n">
        <v>553</v>
      </c>
      <c r="H1556" s="4" t="n">
        <v>167</v>
      </c>
      <c r="I1556" s="5" t="n">
        <v>778.4</v>
      </c>
      <c r="J1556" s="5" t="n">
        <v>312.4</v>
      </c>
      <c r="K1556" s="3" t="inlineStr">
        <is>
          <t>도로 옆,평당 800만원,형질 변경 가능</t>
        </is>
      </c>
      <c r="L1556" s="6">
        <f>HYPERLINK("https://fin.land.naver.com/articles/2652496728", "매물Link")</f>
        <v/>
      </c>
      <c r="M1556" s="6">
        <f>HYPERLINK("https://map.naver.com/p/search/연기면 연기리 500-11", "지도Link")</f>
        <v/>
      </c>
      <c r="N1556" s="6">
        <f>HYPERLINK("http://www.eum.go.kr/web/ar/lu/luLandDet.jsp?pnu=3611031021105000011&amp;isNoScr=script&amp;mode=search", "토지이음")</f>
        <v/>
      </c>
      <c r="O1556" s="3" t="inlineStr">
        <is>
          <t>다산</t>
        </is>
      </c>
      <c r="P1556" s="4" t="n">
        <v>1</v>
      </c>
      <c r="Q1556" s="4" t="n">
        <v>553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중로한면</t>
        </is>
      </c>
    </row>
    <row r="1557">
      <c r="A1557" s="3" t="inlineStr">
        <is>
          <t>연기면 연기리 506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500000</v>
      </c>
      <c r="G1557" s="4" t="n">
        <v>1205</v>
      </c>
      <c r="H1557" s="4" t="n">
        <v>365</v>
      </c>
      <c r="I1557" s="5" t="n">
        <v>1369.9</v>
      </c>
      <c r="J1557" s="5" t="n">
        <v>237.7</v>
      </c>
      <c r="K1557" s="3" t="inlineStr">
        <is>
          <t>1번국도변 상가건물</t>
        </is>
      </c>
      <c r="L1557" s="6">
        <f>HYPERLINK("https://fin.land.naver.com/articles/2655032781", "매물Link")</f>
        <v/>
      </c>
      <c r="M1557" s="6">
        <f>HYPERLINK("https://map.naver.com/p/search/연기면 연기리 506", "지도Link")</f>
        <v/>
      </c>
      <c r="N1557" s="6">
        <f>HYPERLINK("http://www.eum.go.kr/web/ar/lu/luLandDet.jsp?pnu=3611031021105060000&amp;isNoScr=script&amp;mode=search",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1205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506-3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1379</v>
      </c>
      <c r="H1558" s="4" t="n">
        <v>417</v>
      </c>
      <c r="I1558" s="5" t="n">
        <v>1199</v>
      </c>
      <c r="J1558" s="5" t="n">
        <v>297.7</v>
      </c>
      <c r="K1558" s="3" t="inlineStr">
        <is>
          <t>국도 진입 가능한 대로변에 위치한 광고효과 좋은 곳</t>
        </is>
      </c>
      <c r="L1558" s="6">
        <f>HYPERLINK("https://fin.land.naver.com/articles/2653882991", "매물Link")</f>
        <v/>
      </c>
      <c r="M1558" s="6">
        <f>HYPERLINK("https://map.naver.com/p/search/연기면 연기리 506-3", "지도Link")</f>
        <v/>
      </c>
      <c r="N1558" s="6">
        <f>HYPERLINK("http://www.eum.go.kr/web/ar/lu/luLandDet.jsp?pnu=3611031021105060003&amp;isNoScr=script&amp;mode=search", "토지이음")</f>
        <v/>
      </c>
      <c r="O1558" s="3" t="inlineStr">
        <is>
          <t>KS</t>
        </is>
      </c>
      <c r="P1558" s="4" t="n">
        <v>1</v>
      </c>
      <c r="Q1558" s="4" t="n">
        <v>1379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507-4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220000</v>
      </c>
      <c r="G1559" s="4" t="n">
        <v>629</v>
      </c>
      <c r="H1559" s="4" t="n">
        <v>190</v>
      </c>
      <c r="I1559" s="5" t="n">
        <v>1157.9</v>
      </c>
      <c r="J1559" s="5" t="n">
        <v>297.7</v>
      </c>
      <c r="K1559" s="3" t="inlineStr">
        <is>
          <t>8차선 국도접 가시성접근성 최상 계획관리지역 토지</t>
        </is>
      </c>
      <c r="L1559" s="6">
        <f>HYPERLINK("https://fin.land.naver.com/articles/2655697014", "매물Link")</f>
        <v/>
      </c>
      <c r="M1559" s="6">
        <f>HYPERLINK("https://map.naver.com/p/search/연기면 연기리 507-4", "지도Link")</f>
        <v/>
      </c>
      <c r="N1559" s="6">
        <f>HYPERLINK("http://www.eum.go.kr/web/ar/lu/luLandDet.jsp?pnu=3611031021105070004&amp;isNoScr=script&amp;mode=search", "토지이음")</f>
        <v/>
      </c>
      <c r="O1559" s="3" t="inlineStr">
        <is>
          <t>스마트옥션</t>
        </is>
      </c>
      <c r="P1559" s="4" t="n">
        <v>1</v>
      </c>
      <c r="Q1559" s="4" t="n">
        <v>629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중로한면</t>
        </is>
      </c>
    </row>
    <row r="1560">
      <c r="A1560" s="3" t="inlineStr">
        <is>
          <t>연기면 연기리 507-4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220000</v>
      </c>
      <c r="G1560" s="4" t="n">
        <v>629</v>
      </c>
      <c r="H1560" s="4" t="n">
        <v>190</v>
      </c>
      <c r="I1560" s="5" t="n">
        <v>1157.9</v>
      </c>
      <c r="J1560" s="5" t="n">
        <v>297.7</v>
      </c>
      <c r="K1560" s="3" t="inlineStr">
        <is>
          <t>대 도로접 투자 적정지</t>
        </is>
      </c>
      <c r="L1560" s="6">
        <f>HYPERLINK("https://fin.land.naver.com/articles/2651896465", "매물Link")</f>
        <v/>
      </c>
      <c r="M1560" s="6">
        <f>HYPERLINK("https://map.naver.com/p/search/연기면 연기리 507-4", "지도Link")</f>
        <v/>
      </c>
      <c r="N1560" s="6">
        <f>HYPERLINK("http://www.eum.go.kr/web/ar/lu/luLandDet.jsp?pnu=3611031021105070004&amp;isNoScr=script&amp;mode=search", "토지이음")</f>
        <v/>
      </c>
      <c r="O1560" s="3" t="inlineStr">
        <is>
          <t>광장(프라자)</t>
        </is>
      </c>
      <c r="P1560" s="4" t="n">
        <v>1</v>
      </c>
      <c r="Q1560" s="4" t="n">
        <v>629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중로한면</t>
        </is>
      </c>
    </row>
    <row r="1561">
      <c r="A1561" s="3" t="inlineStr">
        <is>
          <t>연기면 연기리 599-8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156</v>
      </c>
      <c r="H1561" s="4" t="n">
        <v>47</v>
      </c>
      <c r="I1561" s="5" t="n">
        <v>383</v>
      </c>
      <c r="J1561" s="5" t="n">
        <v>179</v>
      </c>
      <c r="K1561" s="3" t="inlineStr">
        <is>
          <t>구옥있는 대지 매매</t>
        </is>
      </c>
      <c r="L1561" s="6">
        <f>HYPERLINK("https://fin.land.naver.com/articles/2650859607", "매물Link")</f>
        <v/>
      </c>
      <c r="M1561" s="6">
        <f>HYPERLINK("https://map.naver.com/p/search/연기면 연기리 599-8", "지도Link")</f>
        <v/>
      </c>
      <c r="N1561" s="6">
        <f>HYPERLINK("http://www.eum.go.kr/web/ar/lu/luLandDet.jsp?pnu=3611031021105990008&amp;isNoScr=script&amp;mode=search",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156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연기리 62-2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69000</v>
      </c>
      <c r="G1562" s="4" t="n">
        <v>455</v>
      </c>
      <c r="H1562" s="4" t="n">
        <v>138</v>
      </c>
      <c r="I1562" s="5" t="n">
        <v>500</v>
      </c>
      <c r="J1562" s="5" t="n">
        <v>100.2</v>
      </c>
      <c r="K1562" s="3" t="inlineStr">
        <is>
          <t>nan</t>
        </is>
      </c>
      <c r="L1562" s="6">
        <f>HYPERLINK("https://fin.land.naver.com/articles/2653607930", "매물Link")</f>
        <v/>
      </c>
      <c r="M1562" s="6">
        <f>HYPERLINK("https://map.naver.com/p/search/연기면 연기리 62-2", "지도Link")</f>
        <v/>
      </c>
      <c r="N1562" s="6">
        <f>HYPERLINK("http://www.eum.go.kr/web/ar/lu/luLandDet.jsp?pnu=3611031021100620002&amp;isNoScr=script&amp;mode=search", "토지이음")</f>
        <v/>
      </c>
      <c r="O1562" s="3" t="inlineStr">
        <is>
          <t>마마</t>
        </is>
      </c>
      <c r="P1562" s="4" t="n">
        <v>1</v>
      </c>
      <c r="Q1562" s="4" t="n">
        <v>455.2</v>
      </c>
      <c r="R1562" s="3" t="inlineStr">
        <is>
          <t>지정되지않음</t>
        </is>
      </c>
      <c r="S1562" s="3" t="inlineStr">
        <is>
          <t>전창고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9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65000</v>
      </c>
      <c r="G1563" s="4" t="n">
        <v>598</v>
      </c>
      <c r="H1563" s="4" t="n">
        <v>181</v>
      </c>
      <c r="I1563" s="5" t="n">
        <v>359.1</v>
      </c>
      <c r="J1563" s="5" t="n">
        <v>78.3</v>
      </c>
      <c r="K1563" s="3" t="inlineStr">
        <is>
          <t>6생활권 초인접 지대 높은 남서향 계획관리 토지</t>
        </is>
      </c>
      <c r="L1563" s="6">
        <f>HYPERLINK("https://fin.land.naver.com/articles/2652065478", "매물Link")</f>
        <v/>
      </c>
      <c r="M1563" s="6">
        <f>HYPERLINK("https://map.naver.com/p/search/연기면 연기리 9", "지도Link")</f>
        <v/>
      </c>
      <c r="N1563" s="6">
        <f>HYPERLINK("http://www.eum.go.kr/web/ar/lu/luLandDet.jsp?pnu=3611031021100090000&amp;isNoScr=script&amp;mode=search", "토지이음")</f>
        <v/>
      </c>
      <c r="O1563" s="3" t="inlineStr">
        <is>
          <t>신와촌</t>
        </is>
      </c>
      <c r="P1563" s="4" t="n">
        <v>1</v>
      </c>
      <c r="Q1563" s="4" t="n">
        <v>509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연동면 내판리 10-1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36000</v>
      </c>
      <c r="G1564" s="4" t="n">
        <v>330</v>
      </c>
      <c r="H1564" s="4" t="n">
        <v>100</v>
      </c>
      <c r="I1564" s="5" t="n">
        <v>360</v>
      </c>
      <c r="J1564" s="5" t="n">
        <v>106.7</v>
      </c>
      <c r="K1564" s="3" t="inlineStr">
        <is>
          <t>세종 내판리 토지 매매.지목 대지구단위계획구역</t>
        </is>
      </c>
      <c r="L1564" s="6">
        <f>HYPERLINK("https://fin.land.naver.com/articles/2655139659", "매물Link")</f>
        <v/>
      </c>
      <c r="M1564" s="6">
        <f>HYPERLINK("https://map.naver.com/p/search/연동면 내판리 10-1", "지도Link")</f>
        <v/>
      </c>
      <c r="N1564" s="6">
        <f>HYPERLINK("http://www.eum.go.kr/web/ar/lu/luLandDet.jsp?pnu=3611032021100100001&amp;isNoScr=script&amp;mode=search", "토지이음")</f>
        <v/>
      </c>
      <c r="O1564" s="3" t="inlineStr">
        <is>
          <t>세종몽땅</t>
        </is>
      </c>
      <c r="P1564" s="4" t="n">
        <v>1</v>
      </c>
      <c r="Q1564" s="4" t="n">
        <v>330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연동면 내판리 10-1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36000</v>
      </c>
      <c r="G1565" s="4" t="n">
        <v>329</v>
      </c>
      <c r="H1565" s="4" t="n">
        <v>100</v>
      </c>
      <c r="I1565" s="5" t="n">
        <v>360</v>
      </c>
      <c r="J1565" s="5" t="n">
        <v>106.7</v>
      </c>
      <c r="K1565" s="3" t="inlineStr">
        <is>
          <t>nan</t>
        </is>
      </c>
      <c r="L1565" s="6">
        <f>HYPERLINK("https://fin.land.naver.com/articles/2656146852", "매물Link")</f>
        <v/>
      </c>
      <c r="M1565" s="6">
        <f>HYPERLINK("https://map.naver.com/p/search/연동면 내판리 10-1", "지도Link")</f>
        <v/>
      </c>
      <c r="N1565" s="6">
        <f>HYPERLINK("http://www.eum.go.kr/web/ar/lu/luLandDet.jsp?pnu=3611032021100100001&amp;isNoScr=script&amp;mode=search", "토지이음")</f>
        <v/>
      </c>
      <c r="O1565" s="3" t="inlineStr">
        <is>
          <t>세종지평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내판리 10-8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24500</v>
      </c>
      <c r="G1566" s="4" t="n">
        <v>230</v>
      </c>
      <c r="H1566" s="4" t="n">
        <v>70</v>
      </c>
      <c r="I1566" s="5" t="n">
        <v>350</v>
      </c>
      <c r="J1566" s="5" t="n">
        <v>94.90000000000001</v>
      </c>
      <c r="K1566" s="3" t="inlineStr">
        <is>
          <t>계획관리지역,대지</t>
        </is>
      </c>
      <c r="L1566" s="6">
        <f>HYPERLINK("https://fin.land.naver.com/articles/2655086108", "매물Link")</f>
        <v/>
      </c>
      <c r="M1566" s="6">
        <f>HYPERLINK("https://map.naver.com/p/search/연동면 내판리 10-8", "지도Link")</f>
        <v/>
      </c>
      <c r="N1566" s="6">
        <f>HYPERLINK("http://www.eum.go.kr/web/ar/lu/luLandDet.jsp?pnu=3611032021100100008&amp;isNoScr=script&amp;mode=search",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191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연동면 내판리 104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67000</v>
      </c>
      <c r="G1567" s="4" t="n">
        <v>2767</v>
      </c>
      <c r="H1567" s="4" t="n">
        <v>837</v>
      </c>
      <c r="I1567" s="5" t="n">
        <v>80</v>
      </c>
      <c r="J1567" s="5" t="n">
        <v>36.2</v>
      </c>
      <c r="K1567" s="3" t="inlineStr">
        <is>
          <t>계확관리 아파트건설 호재가 있는  토지 중학교 옆위치 조율가능</t>
        </is>
      </c>
      <c r="L1567" s="6">
        <f>HYPERLINK("https://fin.land.naver.com/articles/2653589993", "매물Link")</f>
        <v/>
      </c>
      <c r="M1567" s="6">
        <f>HYPERLINK("https://map.naver.com/p/search/연동면 내판리 104", "지도Link")</f>
        <v/>
      </c>
      <c r="N1567" s="6">
        <f>HYPERLINK("http://www.eum.go.kr/web/ar/lu/luLandDet.jsp?pnu=3611032021101040000&amp;isNoScr=script&amp;mode=search", "토지이음")</f>
        <v/>
      </c>
      <c r="O1567" s="3" t="inlineStr">
        <is>
          <t>도안부자</t>
        </is>
      </c>
      <c r="P1567" s="4" t="n">
        <v>1</v>
      </c>
      <c r="Q1567" s="4" t="n">
        <v>2767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내판리 114-1</t>
        </is>
      </c>
      <c r="B1568" s="3" t="inlineStr">
        <is>
          <t>계획관리지역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월세</t>
        </is>
      </c>
      <c r="F1568" s="4" t="n">
        <v>2000</v>
      </c>
      <c r="G1568" s="4" t="n">
        <v>660</v>
      </c>
      <c r="H1568" s="4" t="n">
        <v>200</v>
      </c>
      <c r="I1568" s="5" t="n">
        <v>0.3</v>
      </c>
      <c r="J1568" s="5" t="n">
        <v>62</v>
      </c>
      <c r="K1568" s="3" t="inlineStr">
        <is>
          <t>건축완료, 사무실용도, 인근산단많아서 직원들 숙소도 가능가격조율가능</t>
        </is>
      </c>
      <c r="L1568" s="6">
        <f>HYPERLINK("https://fin.land.naver.com/articles/2654882942", "매물Link")</f>
        <v/>
      </c>
      <c r="M1568" s="6">
        <f>HYPERLINK("https://map.naver.com/p/search/연동면 내판리 114-1", "지도Link")</f>
        <v/>
      </c>
      <c r="N1568" s="6">
        <f>HYPERLINK("http://www.eum.go.kr/web/ar/lu/luLandDet.jsp?pnu=3611032021101140001&amp;isNoScr=script&amp;mode=search", "토지이음")</f>
        <v/>
      </c>
      <c r="O1568" s="3" t="inlineStr">
        <is>
          <t>세종복댕이</t>
        </is>
      </c>
      <c r="P1568" s="4" t="n">
        <v>1</v>
      </c>
      <c r="Q1568" s="4" t="n">
        <v>660</v>
      </c>
      <c r="R1568" s="3" t="inlineStr">
        <is>
          <t>지정되지않음</t>
        </is>
      </c>
      <c r="S1568" s="3" t="inlineStr">
        <is>
          <t>전기타</t>
        </is>
      </c>
      <c r="T1568" s="3" t="inlineStr">
        <is>
          <t>완경사</t>
        </is>
      </c>
      <c r="U1568" s="3" t="inlineStr">
        <is>
          <t>가로장방</t>
        </is>
      </c>
      <c r="V1568" s="3" t="inlineStr">
        <is>
          <t>세로한면(가)</t>
        </is>
      </c>
    </row>
    <row r="1569">
      <c r="A1569" s="3" t="inlineStr">
        <is>
          <t>연동면 내판리 175-1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190000</v>
      </c>
      <c r="G1569" s="4" t="n">
        <v>2710</v>
      </c>
      <c r="H1569" s="4" t="n">
        <v>820</v>
      </c>
      <c r="I1569" s="5" t="n">
        <v>231.7</v>
      </c>
      <c r="J1569" s="5" t="n">
        <v>71.90000000000001</v>
      </c>
      <c r="K1569" s="3" t="inlineStr">
        <is>
          <t>세종시 연동면내판리 2차선 토지매매</t>
        </is>
      </c>
      <c r="L1569" s="6">
        <f>HYPERLINK("https://fin.land.naver.com/articles/2652504504", "매물Link")</f>
        <v/>
      </c>
      <c r="M1569" s="6">
        <f>HYPERLINK("https://map.naver.com/p/search/연동면 내판리 175-1", "지도Link")</f>
        <v/>
      </c>
      <c r="N1569" s="6">
        <f>HYPERLINK("http://www.eum.go.kr/web/ar/lu/luLandDet.jsp?pnu=3611032021101750001&amp;isNoScr=script&amp;mode=search", "토지이음")</f>
        <v/>
      </c>
      <c r="O1569" s="3" t="inlineStr">
        <is>
          <t>동원</t>
        </is>
      </c>
      <c r="P1569" s="4" t="n">
        <v>1</v>
      </c>
      <c r="Q1569" s="4" t="n">
        <v>2340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연동면 내판리 175-12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96000</v>
      </c>
      <c r="G1570" s="4" t="n">
        <v>1095</v>
      </c>
      <c r="H1570" s="4" t="n">
        <v>331</v>
      </c>
      <c r="I1570" s="5" t="n">
        <v>290</v>
      </c>
      <c r="J1570" s="5" t="n">
        <v>61.4</v>
      </c>
      <c r="K1570" s="3" t="inlineStr">
        <is>
          <t>내판리 계획관리지역  5생활권 인접한 명학산업단지 부근</t>
        </is>
      </c>
      <c r="L1570" s="6">
        <f>HYPERLINK("https://fin.land.naver.com/articles/2653639529", "매물Link")</f>
        <v/>
      </c>
      <c r="M1570" s="6">
        <f>HYPERLINK("https://map.naver.com/p/search/연동면 내판리 175-12", "지도Link")</f>
        <v/>
      </c>
      <c r="N1570" s="6">
        <f>HYPERLINK("http://www.eum.go.kr/web/ar/lu/luLandDet.jsp?pnu=3611032021101750012&amp;isNoScr=script&amp;mode=search", "토지이음")</f>
        <v/>
      </c>
      <c r="O1570" s="3" t="inlineStr">
        <is>
          <t>레몬</t>
        </is>
      </c>
      <c r="P1570" s="4" t="n">
        <v>1</v>
      </c>
      <c r="Q1570" s="4" t="n">
        <v>475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254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65000</v>
      </c>
      <c r="G1571" s="4" t="n">
        <v>1884</v>
      </c>
      <c r="H1571" s="4" t="n">
        <v>570</v>
      </c>
      <c r="I1571" s="5" t="n">
        <v>114</v>
      </c>
      <c r="J1571" s="5" t="n">
        <v>65.8</v>
      </c>
      <c r="K1571" s="3" t="inlineStr">
        <is>
          <t>실 570. 행정중심복합도시 수혜지역 매매. 대통령집무실 이전유력지 호재</t>
        </is>
      </c>
      <c r="L1571" s="6">
        <f>HYPERLINK("https://fin.land.naver.com/articles/2651758585", "매물Link")</f>
        <v/>
      </c>
      <c r="M1571" s="6">
        <f>HYPERLINK("https://map.naver.com/p/search/연동면 내판리 254", "지도Link")</f>
        <v/>
      </c>
      <c r="N1571" s="6">
        <f>HYPERLINK("http://www.eum.go.kr/web/ar/lu/luLandDet.jsp?pnu=3611032021102540000&amp;isNoScr=script&amp;mode=search", "토지이음")</f>
        <v/>
      </c>
      <c r="O1571" s="3" t="inlineStr">
        <is>
          <t>길</t>
        </is>
      </c>
      <c r="P1571" s="4" t="n">
        <v>1</v>
      </c>
      <c r="Q1571" s="4" t="n">
        <v>1884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맹지</t>
        </is>
      </c>
    </row>
    <row r="1572">
      <c r="A1572" s="3" t="inlineStr">
        <is>
          <t>연동면 내판리 337-1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191664</v>
      </c>
      <c r="G1572" s="4" t="n">
        <v>1152</v>
      </c>
      <c r="H1572" s="4" t="n">
        <v>348</v>
      </c>
      <c r="I1572" s="5" t="n">
        <v>550.8</v>
      </c>
      <c r="J1572" s="5" t="n">
        <v>112.8</v>
      </c>
      <c r="K1572" s="3" t="inlineStr">
        <is>
          <t>명학산업단지 근처 6미터 도로접 투자용</t>
        </is>
      </c>
      <c r="L1572" s="6">
        <f>HYPERLINK("https://fin.land.naver.com/articles/2652376217", "매물Link")</f>
        <v/>
      </c>
      <c r="M1572" s="6">
        <f>HYPERLINK("https://map.naver.com/p/search/연동면 내판리 337-1", "지도Link")</f>
        <v/>
      </c>
      <c r="N1572" s="6">
        <f>HYPERLINK("http://www.eum.go.kr/web/ar/lu/luLandDet.jsp?pnu=3611032021103370001&amp;isNoScr=script&amp;mode=search", "토지이음")</f>
        <v/>
      </c>
      <c r="O1572" s="3" t="inlineStr">
        <is>
          <t>도안재벌</t>
        </is>
      </c>
      <c r="P1572" s="4" t="n">
        <v>1</v>
      </c>
      <c r="Q1572" s="4" t="n">
        <v>1152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내판리 337-8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133100</v>
      </c>
      <c r="G1573" s="4" t="n">
        <v>800</v>
      </c>
      <c r="H1573" s="4" t="n">
        <v>242</v>
      </c>
      <c r="I1573" s="5" t="n">
        <v>550</v>
      </c>
      <c r="J1573" s="5" t="n">
        <v>183.9</v>
      </c>
      <c r="K1573" s="3" t="inlineStr">
        <is>
          <t>명학산업단지 근처 6미터 도로접 투자용</t>
        </is>
      </c>
      <c r="L1573" s="6">
        <f>HYPERLINK("https://fin.land.naver.com/articles/2652376203", "매물Link")</f>
        <v/>
      </c>
      <c r="M1573" s="6">
        <f>HYPERLINK("https://map.naver.com/p/search/연동면 내판리 337-8", "지도Link")</f>
        <v/>
      </c>
      <c r="N1573" s="6">
        <f>HYPERLINK("http://www.eum.go.kr/web/ar/lu/luLandDet.jsp?pnu=3611032021103370008&amp;isNoScr=script&amp;mode=search", "토지이음")</f>
        <v/>
      </c>
      <c r="O1573" s="3" t="inlineStr">
        <is>
          <t>도안재벌</t>
        </is>
      </c>
      <c r="P1573" s="4" t="n">
        <v>1</v>
      </c>
      <c r="Q1573" s="4" t="n">
        <v>800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내판리 337-9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140000</v>
      </c>
      <c r="G1574" s="4" t="n">
        <v>737</v>
      </c>
      <c r="H1574" s="4" t="n">
        <v>223</v>
      </c>
      <c r="I1574" s="5" t="n">
        <v>627.8</v>
      </c>
      <c r="J1574" s="5" t="n">
        <v>183.9</v>
      </c>
      <c r="K1574" s="3" t="inlineStr">
        <is>
          <t>nan</t>
        </is>
      </c>
      <c r="L1574" s="6">
        <f>HYPERLINK("https://fin.land.naver.com/articles/2652045510", "매물Link")</f>
        <v/>
      </c>
      <c r="M1574" s="6">
        <f>HYPERLINK("https://map.naver.com/p/search/연동면 내판리 337-9", "지도Link")</f>
        <v/>
      </c>
      <c r="N1574" s="6">
        <f>HYPERLINK("http://www.eum.go.kr/web/ar/lu/luLandDet.jsp?pnu=3611032021103370009&amp;isNoScr=script&amp;mode=search",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737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35-5</t>
        </is>
      </c>
      <c r="B1575" s="3" t="inlineStr">
        <is>
          <t>계획관리지역</t>
        </is>
      </c>
      <c r="C1575" s="3" t="inlineStr">
        <is>
          <t>임야</t>
        </is>
      </c>
      <c r="D1575" s="3" t="inlineStr">
        <is>
          <t>임야</t>
        </is>
      </c>
      <c r="E1575" s="3" t="inlineStr">
        <is>
          <t>매매</t>
        </is>
      </c>
      <c r="F1575" s="4" t="n">
        <v>205000</v>
      </c>
      <c r="G1575" s="4" t="n">
        <v>5683</v>
      </c>
      <c r="H1575" s="4" t="n">
        <v>1719</v>
      </c>
      <c r="I1575" s="5" t="n">
        <v>119.3</v>
      </c>
      <c r="J1575" s="5" t="n">
        <v>41.8</v>
      </c>
      <c r="K1575" s="3" t="inlineStr">
        <is>
          <t>급매  저렴한 매물    추천매물</t>
        </is>
      </c>
      <c r="L1575" s="6">
        <f>HYPERLINK("https://fin.land.naver.com/articles/2653315073", "매물Link")</f>
        <v/>
      </c>
      <c r="M1575" s="6">
        <f>HYPERLINK("https://map.naver.com/p/search/연동면 내판리 35-5", "지도Link")</f>
        <v/>
      </c>
      <c r="N1575" s="6">
        <f>HYPERLINK("http://www.eum.go.kr/web/ar/lu/luLandDet.jsp?pnu=3611032021100350005&amp;isNoScr=script&amp;mode=search", "토지이음")</f>
        <v/>
      </c>
      <c r="O1575" s="3" t="inlineStr">
        <is>
          <t>세종푸르지오</t>
        </is>
      </c>
      <c r="P1575" s="4" t="n">
        <v>2</v>
      </c>
      <c r="Q1575" s="4" t="n">
        <v>5683</v>
      </c>
      <c r="R1575" s="3" t="inlineStr">
        <is>
          <t>지정되지않음</t>
        </is>
      </c>
      <c r="S1575" s="3" t="inlineStr">
        <is>
          <t>자연림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연동면 내판리 35-5</t>
        </is>
      </c>
      <c r="B1576" s="3" t="inlineStr">
        <is>
          <t>계획관리지역</t>
        </is>
      </c>
      <c r="C1576" s="3" t="inlineStr">
        <is>
          <t>임야</t>
        </is>
      </c>
      <c r="D1576" s="3" t="inlineStr">
        <is>
          <t>임야</t>
        </is>
      </c>
      <c r="E1576" s="3" t="inlineStr">
        <is>
          <t>매매</t>
        </is>
      </c>
      <c r="F1576" s="4" t="n">
        <v>203000</v>
      </c>
      <c r="G1576" s="4" t="n">
        <v>5683</v>
      </c>
      <c r="H1576" s="4" t="n">
        <v>1719</v>
      </c>
      <c r="I1576" s="5" t="n">
        <v>118.1</v>
      </c>
      <c r="J1576" s="5" t="n">
        <v>41.8</v>
      </c>
      <c r="K1576" s="3" t="inlineStr">
        <is>
          <t>계획관리지역 건축부지 시세이하가격</t>
        </is>
      </c>
      <c r="L1576" s="6">
        <f>HYPERLINK("https://fin.land.naver.com/articles/2650899167", "매물Link")</f>
        <v/>
      </c>
      <c r="M1576" s="6">
        <f>HYPERLINK("https://map.naver.com/p/search/연동면 내판리 35-5", "지도Link")</f>
        <v/>
      </c>
      <c r="N1576" s="6">
        <f>HYPERLINK("http://www.eum.go.kr/web/ar/lu/luLandDet.jsp?pnu=3611032021100350005&amp;isNoScr=script&amp;mode=search", "토지이음")</f>
        <v/>
      </c>
      <c r="O1576" s="3" t="inlineStr">
        <is>
          <t>(주)경진컨설팅</t>
        </is>
      </c>
      <c r="P1576" s="4" t="n">
        <v>1</v>
      </c>
      <c r="Q1576" s="4" t="n">
        <v>5683</v>
      </c>
      <c r="R1576" s="3" t="inlineStr">
        <is>
          <t>지정되지않음</t>
        </is>
      </c>
      <c r="S1576" s="3" t="inlineStr">
        <is>
          <t>자연림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내판리 35-5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210000</v>
      </c>
      <c r="G1577" s="4" t="n">
        <v>5683</v>
      </c>
      <c r="H1577" s="4" t="n">
        <v>1719</v>
      </c>
      <c r="I1577" s="5" t="n">
        <v>122.2</v>
      </c>
      <c r="J1577" s="5" t="n">
        <v>41.8</v>
      </c>
      <c r="K1577" s="3" t="inlineStr">
        <is>
          <t>시세보다 저렴한  최상의 위치로  계획관리 토지로 용도다양</t>
        </is>
      </c>
      <c r="L1577" s="6">
        <f>HYPERLINK("https://fin.land.naver.com/articles/2651026655", "매물Link")</f>
        <v/>
      </c>
      <c r="M1577" s="6">
        <f>HYPERLINK("https://map.naver.com/p/search/연동면 내판리 35-5", "지도Link")</f>
        <v/>
      </c>
      <c r="N1577" s="6">
        <f>HYPERLINK("http://www.eum.go.kr/web/ar/lu/luLandDet.jsp?pnu=3611032021100350005&amp;isNoScr=script&amp;mode=search", "토지이음")</f>
        <v/>
      </c>
      <c r="O1577" s="3" t="inlineStr">
        <is>
          <t>연동스카이</t>
        </is>
      </c>
      <c r="P1577" s="4" t="n">
        <v>1</v>
      </c>
      <c r="Q1577" s="4" t="n">
        <v>5683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연동면 내판리 363-6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80000</v>
      </c>
      <c r="G1578" s="4" t="n">
        <v>663</v>
      </c>
      <c r="H1578" s="4" t="n">
        <v>201</v>
      </c>
      <c r="I1578" s="5" t="n">
        <v>398</v>
      </c>
      <c r="J1578" s="5" t="n">
        <v>95</v>
      </c>
      <c r="K1578" s="3" t="inlineStr">
        <is>
          <t>계획관리포장도로전기 인접, 오송산단 접근 좋은 전원형 토지</t>
        </is>
      </c>
      <c r="L1578" s="6">
        <f>HYPERLINK("https://fin.land.naver.com/articles/2651802843", "매물Link")</f>
        <v/>
      </c>
      <c r="M1578" s="6">
        <f>HYPERLINK("https://map.naver.com/p/search/연동면 내판리 363-6", "지도Link")</f>
        <v/>
      </c>
      <c r="N1578" s="6">
        <f>HYPERLINK("http://www.eum.go.kr/web/ar/lu/luLandDet.jsp?pnu=3611032021103630006&amp;isNoScr=script&amp;mode=search",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82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365-5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80000</v>
      </c>
      <c r="G1579" s="4" t="n">
        <v>664</v>
      </c>
      <c r="H1579" s="4" t="n">
        <v>201</v>
      </c>
      <c r="I1579" s="5" t="n">
        <v>398</v>
      </c>
      <c r="J1579" s="5" t="n">
        <v>95</v>
      </c>
      <c r="K1579" s="3" t="inlineStr">
        <is>
          <t>세종시 5생활권 스마트시티 300m 7,500세대 아파트 호재 중심</t>
        </is>
      </c>
      <c r="L1579" s="6">
        <f>HYPERLINK("https://fin.land.naver.com/articles/2654053900", "매물Link")</f>
        <v/>
      </c>
      <c r="M1579" s="6">
        <f>HYPERLINK("https://map.naver.com/p/search/연동면 내판리 365-5", "지도Link")</f>
        <v/>
      </c>
      <c r="N1579" s="6">
        <f>HYPERLINK("http://www.eum.go.kr/web/ar/lu/luLandDet.jsp?pnu=3611032021103650005&amp;isNoScr=script&amp;mode=search",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473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내판리 418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234600</v>
      </c>
      <c r="G1580" s="4" t="n">
        <v>2585</v>
      </c>
      <c r="H1580" s="4" t="n">
        <v>782</v>
      </c>
      <c r="I1580" s="5" t="n">
        <v>300</v>
      </c>
      <c r="J1580" s="5" t="n">
        <v>74.09999999999999</v>
      </c>
      <c r="K1580" s="3" t="inlineStr">
        <is>
          <t>투자와 실사용 모두 적합,인프라 근접</t>
        </is>
      </c>
      <c r="L1580" s="6">
        <f>HYPERLINK("https://fin.land.naver.com/articles/2656300183", "매물Link")</f>
        <v/>
      </c>
      <c r="M1580" s="6">
        <f>HYPERLINK("https://map.naver.com/p/search/연동면 내판리 418", "지도Link")</f>
        <v/>
      </c>
      <c r="N1580" s="6">
        <f>HYPERLINK("http://www.eum.go.kr/web/ar/lu/luLandDet.jsp?pnu=3611032021104180000&amp;isNoScr=script&amp;mode=search", "토지이음")</f>
        <v/>
      </c>
      <c r="O1580" s="3" t="inlineStr">
        <is>
          <t>가치잇는</t>
        </is>
      </c>
      <c r="P1580" s="4" t="n">
        <v>1</v>
      </c>
      <c r="Q1580" s="4" t="n">
        <v>2585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연동면 내판리 419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115500</v>
      </c>
      <c r="G1581" s="4" t="n">
        <v>1273</v>
      </c>
      <c r="H1581" s="4" t="n">
        <v>385</v>
      </c>
      <c r="I1581" s="5" t="n">
        <v>300</v>
      </c>
      <c r="J1581" s="5" t="n">
        <v>63.7</v>
      </c>
      <c r="K1581" s="3" t="inlineStr">
        <is>
          <t>세종 생활권 가까워 투자가치와 활용도 높은 토지</t>
        </is>
      </c>
      <c r="L1581" s="6">
        <f>HYPERLINK("https://fin.land.naver.com/articles/2656299754", "매물Link")</f>
        <v/>
      </c>
      <c r="M1581" s="6">
        <f>HYPERLINK("https://map.naver.com/p/search/연동면 내판리 419", "지도Link")</f>
        <v/>
      </c>
      <c r="N1581" s="6">
        <f>HYPERLINK("http://www.eum.go.kr/web/ar/lu/luLandDet.jsp?pnu=3611032021104190000&amp;isNoScr=script&amp;mode=search", "토지이음")</f>
        <v/>
      </c>
      <c r="O1581" s="3" t="inlineStr">
        <is>
          <t>가치잇는</t>
        </is>
      </c>
      <c r="P1581" s="4" t="n">
        <v>1</v>
      </c>
      <c r="Q1581" s="4" t="n">
        <v>1273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내판리 422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169000</v>
      </c>
      <c r="G1582" s="4" t="n">
        <v>1603</v>
      </c>
      <c r="H1582" s="4" t="n">
        <v>485</v>
      </c>
      <c r="I1582" s="5" t="n">
        <v>348.5</v>
      </c>
      <c r="J1582" s="5" t="n">
        <v>60.3</v>
      </c>
      <c r="K1582" s="3" t="inlineStr">
        <is>
          <t>내판리 도로변 계획관리지역 답</t>
        </is>
      </c>
      <c r="L1582" s="6">
        <f>HYPERLINK("https://fin.land.naver.com/articles/2656216548", "매물Link")</f>
        <v/>
      </c>
      <c r="M1582" s="6">
        <f>HYPERLINK("https://map.naver.com/p/search/연동면 내판리 422", "지도Link")</f>
        <v/>
      </c>
      <c r="N1582" s="6">
        <f>HYPERLINK("http://www.eum.go.kr/web/ar/lu/luLandDet.jsp?pnu=3611032021104220000&amp;isNoScr=script&amp;mode=search", "토지이음")</f>
        <v/>
      </c>
      <c r="O1582" s="3" t="inlineStr">
        <is>
          <t>세종천지</t>
        </is>
      </c>
      <c r="P1582" s="4" t="n">
        <v>1</v>
      </c>
      <c r="Q1582" s="4" t="n">
        <v>1603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50-3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180000</v>
      </c>
      <c r="G1583" s="4" t="n">
        <v>2406</v>
      </c>
      <c r="H1583" s="4" t="n">
        <v>728</v>
      </c>
      <c r="I1583" s="5" t="n">
        <v>247.3</v>
      </c>
      <c r="J1583" s="5" t="n">
        <v>76.5</v>
      </c>
      <c r="K1583" s="3" t="inlineStr">
        <is>
          <t>2차선 도로에 접해있는 계획관리 농지</t>
        </is>
      </c>
      <c r="L1583" s="6">
        <f>HYPERLINK("https://fin.land.naver.com/articles/2655147951", "매물Link")</f>
        <v/>
      </c>
      <c r="M1583" s="6">
        <f>HYPERLINK("https://map.naver.com/p/search/연동면 내판리 50-3", "지도Link")</f>
        <v/>
      </c>
      <c r="N1583" s="6">
        <f>HYPERLINK("http://www.eum.go.kr/web/ar/lu/luLandDet.jsp?pnu=3611032021100500003&amp;isNoScr=script&amp;mode=search", "토지이음")</f>
        <v/>
      </c>
      <c r="O1583" s="3" t="inlineStr">
        <is>
          <t>오송랜드</t>
        </is>
      </c>
      <c r="P1583" s="4" t="n">
        <v>1</v>
      </c>
      <c r="Q1583" s="4" t="n">
        <v>1188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연동면 내판리 556</t>
        </is>
      </c>
      <c r="B1584" s="3" t="inlineStr">
        <is>
          <t>생산관리지역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80000</v>
      </c>
      <c r="G1584" s="4" t="n">
        <v>2733</v>
      </c>
      <c r="H1584" s="4" t="n">
        <v>827</v>
      </c>
      <c r="I1584" s="5" t="n">
        <v>96.7</v>
      </c>
      <c r="J1584" s="5" t="n">
        <v>71.2</v>
      </c>
      <c r="K1584" s="3" t="inlineStr">
        <is>
          <t>nan</t>
        </is>
      </c>
      <c r="L1584" s="6">
        <f>HYPERLINK("https://fin.land.naver.com/articles/2651729266", "매물Link")</f>
        <v/>
      </c>
      <c r="M1584" s="6">
        <f>HYPERLINK("https://map.naver.com/p/search/연동면 내판리 556", "지도Link")</f>
        <v/>
      </c>
      <c r="N1584" s="6">
        <f>HYPERLINK("http://www.eum.go.kr/web/ar/lu/luLandDet.jsp?pnu=3611032021105560000&amp;isNoScr=script&amp;mode=search",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2169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내판리 572-1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12000</v>
      </c>
      <c r="G1585" s="4" t="n">
        <v>97</v>
      </c>
      <c r="H1585" s="4" t="n">
        <v>29</v>
      </c>
      <c r="I1585" s="5" t="n">
        <v>413.8</v>
      </c>
      <c r="J1585" s="5" t="n">
        <v>63.2</v>
      </c>
      <c r="K1585" s="3" t="inlineStr">
        <is>
          <t>세종시5생활권주변지역 위치좋은 매물</t>
        </is>
      </c>
      <c r="L1585" s="6">
        <f>HYPERLINK("https://fin.land.naver.com/articles/2654051858", "매물Link")</f>
        <v/>
      </c>
      <c r="M1585" s="6">
        <f>HYPERLINK("https://map.naver.com/p/search/연동면 내판리 572-1", "지도Link")</f>
        <v/>
      </c>
      <c r="N1585" s="6">
        <f>HYPERLINK("http://www.eum.go.kr/web/ar/lu/luLandDet.jsp?pnu=3611032021105720001&amp;isNoScr=script&amp;mode=search", "토지이음")</f>
        <v/>
      </c>
      <c r="O1585" s="3" t="inlineStr">
        <is>
          <t>대박</t>
        </is>
      </c>
      <c r="P1585" s="4" t="n">
        <v>1</v>
      </c>
      <c r="Q1585" s="4" t="n">
        <v>97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연동면 내판리 63-1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60000</v>
      </c>
      <c r="G1586" s="4" t="n">
        <v>640</v>
      </c>
      <c r="H1586" s="4" t="n">
        <v>194</v>
      </c>
      <c r="I1586" s="5" t="n">
        <v>309.3</v>
      </c>
      <c r="J1586" s="5" t="n">
        <v>71.5</v>
      </c>
      <c r="K1586" s="3" t="inlineStr">
        <is>
          <t>농업용창고있음.도로에 접해있는 땅으로 접근성 좋습니다.</t>
        </is>
      </c>
      <c r="L1586" s="6">
        <f>HYPERLINK("https://fin.land.naver.com/articles/2656431356", "매물Link")</f>
        <v/>
      </c>
      <c r="M1586" s="6">
        <f>HYPERLINK("https://map.naver.com/p/search/연동면 내판리 63-1", "지도Link")</f>
        <v/>
      </c>
      <c r="N1586" s="6">
        <f>HYPERLINK("http://www.eum.go.kr/web/ar/lu/luLandDet.jsp?pnu=3611032021100630001&amp;isNoScr=script&amp;mode=search", "토지이음")</f>
        <v/>
      </c>
      <c r="O1586" s="3" t="inlineStr">
        <is>
          <t>복수자이</t>
        </is>
      </c>
      <c r="P1586" s="4" t="n">
        <v>1</v>
      </c>
      <c r="Q1586" s="4" t="n">
        <v>640</v>
      </c>
      <c r="R1586" s="3" t="inlineStr">
        <is>
          <t>지정되지않음</t>
        </is>
      </c>
      <c r="S1586" s="3" t="inlineStr">
        <is>
          <t>답기타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연동면 내판리 64-1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88000</v>
      </c>
      <c r="G1587" s="4" t="n">
        <v>1167</v>
      </c>
      <c r="H1587" s="4" t="n">
        <v>353</v>
      </c>
      <c r="I1587" s="5" t="n">
        <v>249.3</v>
      </c>
      <c r="J1587" s="5" t="n">
        <v>83.3</v>
      </c>
      <c r="K1587" s="3" t="inlineStr">
        <is>
          <t>급매, 계획관리지역,성장관리계획구역 도로접</t>
        </is>
      </c>
      <c r="L1587" s="6">
        <f>HYPERLINK("https://fin.land.naver.com/articles/2652592592", "매물Link")</f>
        <v/>
      </c>
      <c r="M1587" s="6">
        <f>HYPERLINK("https://map.naver.com/p/search/연동면 내판리 64-1", "지도Link")</f>
        <v/>
      </c>
      <c r="N1587" s="6">
        <f>HYPERLINK("http://www.eum.go.kr/web/ar/lu/luLandDet.jsp?pnu=3611032021100640001&amp;isNoScr=script&amp;mode=search", "토지이음")</f>
        <v/>
      </c>
      <c r="O1587" s="3" t="inlineStr">
        <is>
          <t>굿모닝한라</t>
        </is>
      </c>
      <c r="P1587" s="4" t="n">
        <v>1</v>
      </c>
      <c r="Q1587" s="4" t="n">
        <v>1167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연동면 내판리 65-1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145000</v>
      </c>
      <c r="G1588" s="4" t="n">
        <v>2635</v>
      </c>
      <c r="H1588" s="4" t="n">
        <v>797</v>
      </c>
      <c r="I1588" s="5" t="n">
        <v>181.9</v>
      </c>
      <c r="J1588" s="5" t="n">
        <v>83.3</v>
      </c>
      <c r="K1588" s="3" t="inlineStr">
        <is>
          <t>급매,계획관리구역,성장관리계획구역</t>
        </is>
      </c>
      <c r="L1588" s="6">
        <f>HYPERLINK("https://fin.land.naver.com/articles/2652592516", "매물Link")</f>
        <v/>
      </c>
      <c r="M1588" s="6">
        <f>HYPERLINK("https://map.naver.com/p/search/연동면 내판리 65-1", "지도Link")</f>
        <v/>
      </c>
      <c r="N1588" s="6">
        <f>HYPERLINK("http://www.eum.go.kr/web/ar/lu/luLandDet.jsp?pnu=3611032021100650001&amp;isNoScr=script&amp;mode=search", "토지이음")</f>
        <v/>
      </c>
      <c r="O1588" s="3" t="inlineStr">
        <is>
          <t>굿모닝한라</t>
        </is>
      </c>
      <c r="P1588" s="4" t="n">
        <v>1</v>
      </c>
      <c r="Q1588" s="4" t="n">
        <v>1468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소로한면</t>
        </is>
      </c>
    </row>
    <row r="1589">
      <c r="A1589" s="3" t="inlineStr">
        <is>
          <t>연동면 내판리 산2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100000</v>
      </c>
      <c r="G1589" s="4" t="n">
        <v>1587</v>
      </c>
      <c r="H1589" s="4" t="n">
        <v>480</v>
      </c>
      <c r="I1589" s="5" t="n">
        <v>208.3</v>
      </c>
      <c r="J1589" s="5" t="n">
        <v>36.2</v>
      </c>
      <c r="K1589" s="3" t="inlineStr">
        <is>
          <t>계획관리,도시계획도로접,지구단위계획구역,땅모양좋음,조정가</t>
        </is>
      </c>
      <c r="L1589" s="6">
        <f>HYPERLINK("https://fin.land.naver.com/articles/2650882718", "매물Link")</f>
        <v/>
      </c>
      <c r="M1589" s="6">
        <f>HYPERLINK("https://map.naver.com/p/search/연동면 내판리 산2", "지도Link")</f>
        <v/>
      </c>
      <c r="N1589" s="6">
        <f>HYPERLINK("http://www.eum.go.kr/web/ar/lu/luLandDet.jsp?pnu=3611032021200020000&amp;isNoScr=script&amp;mode=search", "토지이음")</f>
        <v/>
      </c>
      <c r="O1589" s="3" t="inlineStr">
        <is>
          <t>힐스테이트행복</t>
        </is>
      </c>
      <c r="P1589" s="4" t="n">
        <v>1</v>
      </c>
      <c r="Q1589" s="4" t="n">
        <v>1587</v>
      </c>
      <c r="R1589" s="3" t="inlineStr">
        <is>
          <t>지정되지않음</t>
        </is>
      </c>
      <c r="S1589" s="3" t="inlineStr">
        <is>
          <t>자연림</t>
        </is>
      </c>
      <c r="T1589" s="3" t="inlineStr">
        <is>
          <t>완경사</t>
        </is>
      </c>
      <c r="U1589" s="3" t="inlineStr">
        <is>
          <t>가로장방</t>
        </is>
      </c>
      <c r="V1589" s="3" t="inlineStr">
        <is>
          <t>세로각지(가)</t>
        </is>
      </c>
    </row>
    <row r="1590">
      <c r="A1590" s="3" t="inlineStr">
        <is>
          <t>연동면 노송리 221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86000</v>
      </c>
      <c r="G1590" s="4" t="n">
        <v>2364</v>
      </c>
      <c r="H1590" s="4" t="n">
        <v>715</v>
      </c>
      <c r="I1590" s="5" t="n">
        <v>120.3</v>
      </c>
      <c r="J1590" s="5" t="n">
        <v>39.5</v>
      </c>
      <c r="K1590" s="3" t="inlineStr">
        <is>
          <t>연동면 노송리 저렴한 계획관리 토지, 도로접, 투자 추천</t>
        </is>
      </c>
      <c r="L1590" s="6">
        <f>HYPERLINK("https://fin.land.naver.com/articles/2654025020", "매물Link")</f>
        <v/>
      </c>
      <c r="M1590" s="6">
        <f>HYPERLINK("https://map.naver.com/p/search/연동면 노송리 221", "지도Link")</f>
        <v/>
      </c>
      <c r="N1590" s="6">
        <f>HYPERLINK("http://www.eum.go.kr/web/ar/lu/luLandDet.jsp?pnu=3611032025102210000&amp;isNoScr=script&amp;mode=search",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476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234-1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17800</v>
      </c>
      <c r="G1591" s="4" t="n">
        <v>283</v>
      </c>
      <c r="H1591" s="4" t="n">
        <v>86</v>
      </c>
      <c r="I1591" s="5" t="n">
        <v>207</v>
      </c>
      <c r="J1591" s="5" t="n">
        <v>73.40000000000001</v>
      </c>
      <c r="K1591" s="3" t="inlineStr">
        <is>
          <t>nan</t>
        </is>
      </c>
      <c r="L1591" s="6">
        <f>HYPERLINK("https://fin.land.naver.com/articles/2653388757", "매물Link")</f>
        <v/>
      </c>
      <c r="M1591" s="6">
        <f>HYPERLINK("https://map.naver.com/p/search/연동면 노송리 234-1", "지도Link")</f>
        <v/>
      </c>
      <c r="N1591" s="6">
        <f>HYPERLINK("http://www.eum.go.kr/web/ar/lu/luLandDet.jsp?pnu=3611032025102340001&amp;isNoScr=script&amp;mode=search", "토지이음")</f>
        <v/>
      </c>
      <c r="O1591" s="3" t="inlineStr">
        <is>
          <t>다산</t>
        </is>
      </c>
      <c r="P1591" s="4" t="n">
        <v>2</v>
      </c>
      <c r="Q1591" s="4" t="n">
        <v>283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노송리 24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12600</v>
      </c>
      <c r="G1592" s="4" t="n">
        <v>417</v>
      </c>
      <c r="H1592" s="4" t="n">
        <v>126</v>
      </c>
      <c r="I1592" s="5" t="n">
        <v>100</v>
      </c>
      <c r="J1592" s="5" t="n">
        <v>65</v>
      </c>
      <c r="K1592" s="3" t="inlineStr">
        <is>
          <t>지대가 높아 남향으로 집을 지으면 조망이 좋은 계획관리지역의 대지입니다</t>
        </is>
      </c>
      <c r="L1592" s="6">
        <f>HYPERLINK("https://fin.land.naver.com/articles/2652192028", "매물Link")</f>
        <v/>
      </c>
      <c r="M1592" s="6">
        <f>HYPERLINK("https://map.naver.com/p/search/연동면 노송리 24", "지도Link")</f>
        <v/>
      </c>
      <c r="N1592" s="6">
        <f>HYPERLINK("http://www.eum.go.kr/web/ar/lu/luLandDet.jsp?pnu=3611032025100240000&amp;isNoScr=script&amp;mode=search",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179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노송리 275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39500</v>
      </c>
      <c r="G1593" s="4" t="n">
        <v>724</v>
      </c>
      <c r="H1593" s="4" t="n">
        <v>219</v>
      </c>
      <c r="I1593" s="5" t="n">
        <v>180.4</v>
      </c>
      <c r="J1593" s="5" t="n">
        <v>67.7</v>
      </c>
      <c r="K1593" s="3" t="inlineStr">
        <is>
          <t>매매가 조절가능,집 짓고 텃밭하기 좋은 땅</t>
        </is>
      </c>
      <c r="L1593" s="6">
        <f>HYPERLINK("https://fin.land.naver.com/articles/2651247824", "매물Link")</f>
        <v/>
      </c>
      <c r="M1593" s="6">
        <f>HYPERLINK("https://map.naver.com/p/search/연동면 노송리 275", "지도Link")</f>
        <v/>
      </c>
      <c r="N1593" s="6">
        <f>HYPERLINK("http://www.eum.go.kr/web/ar/lu/luLandDet.jsp?pnu=3611032025102750000&amp;isNoScr=script&amp;mode=search", "토지이음")</f>
        <v/>
      </c>
      <c r="O1593" s="3" t="inlineStr">
        <is>
          <t>엘리프단지내대표</t>
        </is>
      </c>
      <c r="P1593" s="4" t="n">
        <v>1</v>
      </c>
      <c r="Q1593" s="4" t="n">
        <v>724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세로한면(가)</t>
        </is>
      </c>
    </row>
    <row r="1594">
      <c r="A1594" s="3" t="inlineStr">
        <is>
          <t>연동면 노송리 28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180000</v>
      </c>
      <c r="G1594" s="4" t="n">
        <v>1001</v>
      </c>
      <c r="H1594" s="4" t="n">
        <v>303</v>
      </c>
      <c r="I1594" s="5" t="n">
        <v>594.1</v>
      </c>
      <c r="J1594" s="5" t="n">
        <v>68.90000000000001</v>
      </c>
      <c r="K1594" s="3" t="inlineStr">
        <is>
          <t>계획관리 자연취락지구 3필지일괄매각 분할매각도가능 가격절충가능</t>
        </is>
      </c>
      <c r="L1594" s="6">
        <f>HYPERLINK("https://fin.land.naver.com/articles/2651719062", "매물Link")</f>
        <v/>
      </c>
      <c r="M1594" s="6">
        <f>HYPERLINK("https://map.naver.com/p/search/연동면 노송리 28", "지도Link")</f>
        <v/>
      </c>
      <c r="N1594" s="6">
        <f>HYPERLINK("http://www.eum.go.kr/web/ar/lu/luLandDet.jsp?pnu=3611032025100280000&amp;isNoScr=script&amp;mode=search",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1001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세로각지(가)</t>
        </is>
      </c>
    </row>
    <row r="1595">
      <c r="A1595" s="3" t="inlineStr">
        <is>
          <t>연동면 노송리 28-6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35000</v>
      </c>
      <c r="G1595" s="4" t="n">
        <v>465</v>
      </c>
      <c r="H1595" s="4" t="n">
        <v>141</v>
      </c>
      <c r="I1595" s="5" t="n">
        <v>248.2</v>
      </c>
      <c r="J1595" s="5" t="n">
        <v>68.40000000000001</v>
      </c>
      <c r="K1595" s="3" t="inlineStr">
        <is>
          <t>지목 대 계획관리 자연취락지구 진입도로있음</t>
        </is>
      </c>
      <c r="L1595" s="6">
        <f>HYPERLINK("https://fin.land.naver.com/articles/2651719061", "매물Link")</f>
        <v/>
      </c>
      <c r="M1595" s="6">
        <f>HYPERLINK("https://map.naver.com/p/search/연동면 노송리 28-6", "지도Link")</f>
        <v/>
      </c>
      <c r="N1595" s="6">
        <f>HYPERLINK("http://www.eum.go.kr/web/ar/lu/luLandDet.jsp?pnu=3611032025100280006&amp;isNoScr=script&amp;mode=search", "토지이음")</f>
        <v/>
      </c>
      <c r="O1595" s="3" t="inlineStr">
        <is>
          <t>레몬</t>
        </is>
      </c>
      <c r="P1595" s="4" t="n">
        <v>1</v>
      </c>
      <c r="Q1595" s="4" t="n">
        <v>465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28-6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35000</v>
      </c>
      <c r="G1596" s="4" t="n">
        <v>465</v>
      </c>
      <c r="H1596" s="4" t="n">
        <v>141</v>
      </c>
      <c r="I1596" s="5" t="n">
        <v>248.2</v>
      </c>
      <c r="J1596" s="5" t="n">
        <v>68.40000000000001</v>
      </c>
      <c r="K1596" s="3" t="inlineStr">
        <is>
          <t>바로 건축할수 있는 나대지,3미터 포장도로 진입가능</t>
        </is>
      </c>
      <c r="L1596" s="6">
        <f>HYPERLINK("https://fin.land.naver.com/articles/2653850563", "매물Link")</f>
        <v/>
      </c>
      <c r="M1596" s="6">
        <f>HYPERLINK("https://map.naver.com/p/search/연동면 노송리 28-6", "지도Link")</f>
        <v/>
      </c>
      <c r="N1596" s="6">
        <f>HYPERLINK("http://www.eum.go.kr/web/ar/lu/luLandDet.jsp?pnu=3611032025100280006&amp;isNoScr=script&amp;mode=search", "토지이음")</f>
        <v/>
      </c>
      <c r="O1596" s="3" t="inlineStr">
        <is>
          <t>보람최고</t>
        </is>
      </c>
      <c r="P1596" s="4" t="n">
        <v>2</v>
      </c>
      <c r="Q1596" s="4" t="n">
        <v>465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노송리 310-10</t>
        </is>
      </c>
      <c r="B1597" s="3" t="inlineStr">
        <is>
          <t>계획관리지역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45000</v>
      </c>
      <c r="G1597" s="4" t="n">
        <v>616</v>
      </c>
      <c r="H1597" s="4" t="n">
        <v>186</v>
      </c>
      <c r="I1597" s="5" t="n">
        <v>241.9</v>
      </c>
      <c r="J1597" s="5" t="n">
        <v>18.9</v>
      </c>
      <c r="K1597" s="3" t="inlineStr">
        <is>
          <t>투자용으로 좋아요.</t>
        </is>
      </c>
      <c r="L1597" s="6">
        <f>HYPERLINK("https://fin.land.naver.com/articles/2656232732", "매물Link")</f>
        <v/>
      </c>
      <c r="M1597" s="6">
        <f>HYPERLINK("https://map.naver.com/p/search/연동면 노송리 310-10", "지도Link")</f>
        <v/>
      </c>
      <c r="N1597" s="6">
        <f>HYPERLINK("http://www.eum.go.kr/web/ar/lu/luLandDet.jsp?pnu=3611032025103100010&amp;isNoScr=script&amp;mode=search", "토지이음")</f>
        <v/>
      </c>
      <c r="O1597" s="3" t="inlineStr">
        <is>
          <t>고운동리치세종</t>
        </is>
      </c>
      <c r="P1597" s="4" t="n">
        <v>1</v>
      </c>
      <c r="Q1597" s="4" t="n">
        <v>616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327-2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133750</v>
      </c>
      <c r="G1598" s="4" t="n">
        <v>1507</v>
      </c>
      <c r="H1598" s="4" t="n">
        <v>456</v>
      </c>
      <c r="I1598" s="5" t="n">
        <v>293.3</v>
      </c>
      <c r="J1598" s="5" t="n">
        <v>45</v>
      </c>
      <c r="K1598" s="3" t="inlineStr">
        <is>
          <t>추천. 연동면 도로낀 계획관리</t>
        </is>
      </c>
      <c r="L1598" s="6">
        <f>HYPERLINK("https://fin.land.naver.com/articles/2651935386", "매물Link")</f>
        <v/>
      </c>
      <c r="M1598" s="6">
        <f>HYPERLINK("https://map.naver.com/p/search/연동면 노송리 327-2", "지도Link")</f>
        <v/>
      </c>
      <c r="N1598" s="6">
        <f>HYPERLINK("http://www.eum.go.kr/web/ar/lu/luLandDet.jsp?pnu=3611032025103270002&amp;isNoScr=script&amp;mode=search", "토지이음")</f>
        <v/>
      </c>
      <c r="O1598" s="3" t="inlineStr">
        <is>
          <t>강아지풀</t>
        </is>
      </c>
      <c r="P1598" s="4" t="n">
        <v>1</v>
      </c>
      <c r="Q1598" s="4" t="n">
        <v>1507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연동면 노송리 329-5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23000</v>
      </c>
      <c r="G1599" s="4" t="n">
        <v>254</v>
      </c>
      <c r="H1599" s="4" t="n">
        <v>77</v>
      </c>
      <c r="I1599" s="5" t="n">
        <v>298.7</v>
      </c>
      <c r="J1599" s="5" t="n">
        <v>47.2</v>
      </c>
      <c r="K1599" s="3" t="inlineStr">
        <is>
          <t>2차선 도로에 접함, 건축허가 득함</t>
        </is>
      </c>
      <c r="L1599" s="6">
        <f>HYPERLINK("https://fin.land.naver.com/articles/2655523541", "매물Link")</f>
        <v/>
      </c>
      <c r="M1599" s="6">
        <f>HYPERLINK("https://map.naver.com/p/search/연동면 노송리 329-5", "지도Link")</f>
        <v/>
      </c>
      <c r="N1599" s="6">
        <f>HYPERLINK("http://www.eum.go.kr/web/ar/lu/luLandDet.jsp?pnu=3611032025103290005&amp;isNoScr=script&amp;mode=search", "토지이음")</f>
        <v/>
      </c>
      <c r="O1599" s="3" t="inlineStr">
        <is>
          <t>제이</t>
        </is>
      </c>
      <c r="P1599" s="4" t="n">
        <v>1</v>
      </c>
      <c r="Q1599" s="4" t="n">
        <v>254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소로한면</t>
        </is>
      </c>
    </row>
    <row r="1600">
      <c r="A1600" s="3" t="inlineStr">
        <is>
          <t>연동면 노송리 384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104400</v>
      </c>
      <c r="G1600" s="4" t="n">
        <v>2876</v>
      </c>
      <c r="H1600" s="4" t="n">
        <v>870</v>
      </c>
      <c r="I1600" s="5" t="n">
        <v>120</v>
      </c>
      <c r="J1600" s="5" t="n">
        <v>32.8</v>
      </c>
      <c r="K1600" s="3" t="inlineStr">
        <is>
          <t>연동면 노송리 계획관리 토지, 연동면 소재지 인근</t>
        </is>
      </c>
      <c r="L1600" s="6">
        <f>HYPERLINK("https://fin.land.naver.com/articles/2654025316", "매물Link")</f>
        <v/>
      </c>
      <c r="M1600" s="6">
        <f>HYPERLINK("https://map.naver.com/p/search/연동면 노송리 384", "지도Link")</f>
        <v/>
      </c>
      <c r="N1600" s="6">
        <f>HYPERLINK("http://www.eum.go.kr/web/ar/lu/luLandDet.jsp?pnu=3611032025103840000&amp;isNoScr=script&amp;mode=search", "토지이음")</f>
        <v/>
      </c>
      <c r="O1600" s="3" t="inlineStr">
        <is>
          <t>스카이</t>
        </is>
      </c>
      <c r="P1600" s="4" t="n">
        <v>1</v>
      </c>
      <c r="Q1600" s="4" t="n">
        <v>2876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세로장방</t>
        </is>
      </c>
      <c r="V1600" s="3" t="inlineStr">
        <is>
          <t>맹지</t>
        </is>
      </c>
    </row>
    <row r="1601">
      <c r="A1601" s="3" t="inlineStr">
        <is>
          <t>연동면 노송리 449-1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85000</v>
      </c>
      <c r="G1601" s="4" t="n">
        <v>2320</v>
      </c>
      <c r="H1601" s="4" t="n">
        <v>702</v>
      </c>
      <c r="I1601" s="5" t="n">
        <v>121.1</v>
      </c>
      <c r="J1601" s="5" t="n">
        <v>34.4</v>
      </c>
      <c r="K1601" s="3" t="inlineStr">
        <is>
          <t>세종시 복합물류터미널 인근 2차선 국도변 계획관리 토지</t>
        </is>
      </c>
      <c r="L1601" s="6">
        <f>HYPERLINK("https://fin.land.naver.com/articles/2651339680", "매물Link")</f>
        <v/>
      </c>
      <c r="M1601" s="6">
        <f>HYPERLINK("https://map.naver.com/p/search/연동면 노송리 449-1", "지도Link")</f>
        <v/>
      </c>
      <c r="N1601" s="6">
        <f>HYPERLINK("http://www.eum.go.kr/web/ar/lu/luLandDet.jsp?pnu=3611032025104490001&amp;isNoScr=script&amp;mode=search", "토지이음")</f>
        <v/>
      </c>
      <c r="O1601" s="3" t="inlineStr">
        <is>
          <t>오송3산단  사무소</t>
        </is>
      </c>
      <c r="P1601" s="4" t="n">
        <v>1</v>
      </c>
      <c r="Q1601" s="4" t="n">
        <v>2320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50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155000</v>
      </c>
      <c r="G1603" s="4" t="n">
        <v>1982</v>
      </c>
      <c r="H1603" s="4" t="n">
        <v>600</v>
      </c>
      <c r="I1603" s="5" t="n">
        <v>258.3</v>
      </c>
      <c r="J1603" s="5" t="n">
        <v>53.2</v>
      </c>
      <c r="K1603" s="3" t="inlineStr">
        <is>
          <t>nan</t>
        </is>
      </c>
      <c r="L1603" s="6">
        <f>HYPERLINK("https://fin.land.naver.com/articles/2653971157", "매물Link")</f>
        <v/>
      </c>
      <c r="M1603" s="6">
        <f>HYPERLINK("https://map.naver.com/p/search/연동면 노송리 50", "지도Link")</f>
        <v/>
      </c>
      <c r="N1603" s="6">
        <f>HYPERLINK("http://www.eum.go.kr/web/ar/lu/luLandDet.jsp?pnu=3611032025100500000&amp;isNoScr=script&amp;mode=search", "토지이음")</f>
        <v/>
      </c>
      <c r="O1603" s="3" t="inlineStr">
        <is>
          <t>노은역</t>
        </is>
      </c>
      <c r="P1603" s="4" t="n">
        <v>2</v>
      </c>
      <c r="Q1603" s="4" t="n">
        <v>1982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100000</v>
      </c>
      <c r="G1604" s="4" t="n">
        <v>645</v>
      </c>
      <c r="H1604" s="4" t="n">
        <v>195</v>
      </c>
      <c r="I1604" s="5" t="n">
        <v>512.8</v>
      </c>
      <c r="J1604" s="5" t="n">
        <v>25.1</v>
      </c>
      <c r="K1604" s="3" t="inlineStr">
        <is>
          <t>일부 매매,전체 매매 가능,도로변에 위치</t>
        </is>
      </c>
      <c r="L1604" s="6">
        <f>HYPERLINK("https://fin.land.naver.com/articles/2655890807",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다산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3700</v>
      </c>
      <c r="H1605" s="4" t="n">
        <v>1119</v>
      </c>
      <c r="I1605" s="5" t="n">
        <v>446.8</v>
      </c>
      <c r="J1605" s="5" t="n">
        <v>25.1</v>
      </c>
      <c r="K1605" s="3" t="inlineStr">
        <is>
          <t>nan</t>
        </is>
      </c>
      <c r="L1605" s="6">
        <f>HYPERLINK("https://fin.land.naver.com/articles/2652334541",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세종몽땅</t>
        </is>
      </c>
      <c r="P1605" s="4" t="n">
        <v>1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3699</v>
      </c>
      <c r="H1606" s="4" t="n">
        <v>1119</v>
      </c>
      <c r="I1606" s="5" t="n">
        <v>446.8</v>
      </c>
      <c r="J1606" s="5" t="n">
        <v>25.1</v>
      </c>
      <c r="K1606" s="3" t="inlineStr">
        <is>
          <t>nan</t>
        </is>
      </c>
      <c r="L1606" s="6">
        <f>HYPERLINK("https://fin.land.naver.com/articles/2654934531",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세종신한</t>
        </is>
      </c>
      <c r="P1606" s="4" t="n">
        <v>7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101-7</t>
        </is>
      </c>
      <c r="B1607" s="3" t="inlineStr">
        <is>
          <t>농림지역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500000</v>
      </c>
      <c r="G1607" s="4" t="n">
        <v>3700</v>
      </c>
      <c r="H1607" s="4" t="n">
        <v>1119</v>
      </c>
      <c r="I1607" s="5" t="n">
        <v>446.8</v>
      </c>
      <c r="J1607" s="5" t="n">
        <v>25.1</v>
      </c>
      <c r="K1607" s="3" t="inlineStr">
        <is>
          <t>분할매매가능 평지작업해줌 전원주택 카페최적</t>
        </is>
      </c>
      <c r="L1607" s="6">
        <f>HYPERLINK("https://fin.land.naver.com/articles/2653933714", "매물Link")</f>
        <v/>
      </c>
      <c r="M1607" s="6">
        <f>HYPERLINK("https://map.naver.com/p/search/연동면 명학리 101-7", "지도Link")</f>
        <v/>
      </c>
      <c r="N1607" s="6">
        <f>HYPERLINK("http://www.eum.go.kr/web/ar/lu/luLandDet.jsp?pnu=3611032023101010007&amp;isNoScr=script&amp;mode=search", "토지이음")</f>
        <v/>
      </c>
      <c r="O1607" s="3" t="inlineStr">
        <is>
          <t>신두정리치</t>
        </is>
      </c>
      <c r="P1607" s="4" t="n">
        <v>1</v>
      </c>
      <c r="Q1607" s="4" t="n">
        <v>3700</v>
      </c>
      <c r="R1607" s="3" t="inlineStr">
        <is>
          <t>보전관리지역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104-7</t>
        </is>
      </c>
      <c r="B1608" s="3" t="inlineStr">
        <is>
          <t>농림지역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78400</v>
      </c>
      <c r="G1608" s="4" t="n">
        <v>3920</v>
      </c>
      <c r="H1608" s="4" t="n">
        <v>1186</v>
      </c>
      <c r="I1608" s="5" t="n">
        <v>66.09999999999999</v>
      </c>
      <c r="J1608" s="5" t="n">
        <v>4.9</v>
      </c>
      <c r="K1608" s="3" t="inlineStr">
        <is>
          <t>금강이 보이는 지대 높은 토지,맹지 탈출 할 수있도록 해드려요</t>
        </is>
      </c>
      <c r="L1608" s="6">
        <f>HYPERLINK("https://fin.land.naver.com/articles/2651262867", "매물Link")</f>
        <v/>
      </c>
      <c r="M1608" s="6">
        <f>HYPERLINK("https://map.naver.com/p/search/연동면 명학리 104-7", "지도Link")</f>
        <v/>
      </c>
      <c r="N1608" s="6">
        <f>HYPERLINK("http://www.eum.go.kr/web/ar/lu/luLandDet.jsp?pnu=3611032023101040007&amp;isNoScr=script&amp;mode=search",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3920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급경사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연동면 명학리 104-8</t>
        </is>
      </c>
      <c r="B1609" s="3" t="inlineStr">
        <is>
          <t>보전관리지역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350000</v>
      </c>
      <c r="G1609" s="4" t="n">
        <v>4578</v>
      </c>
      <c r="H1609" s="4" t="n">
        <v>1385</v>
      </c>
      <c r="I1609" s="5" t="n">
        <v>252.7</v>
      </c>
      <c r="J1609" s="5" t="n">
        <v>159.8</v>
      </c>
      <c r="K1609" s="3" t="inlineStr">
        <is>
          <t>세종시 금강변 2차선 도로변 토지</t>
        </is>
      </c>
      <c r="L1609" s="6">
        <f>HYPERLINK("https://fin.land.naver.com/articles/2655936092", "매물Link")</f>
        <v/>
      </c>
      <c r="M1609" s="6">
        <f>HYPERLINK("https://map.naver.com/p/search/연동면 명학리 104-8", "지도Link")</f>
        <v/>
      </c>
      <c r="N1609" s="6">
        <f>HYPERLINK("http://www.eum.go.kr/web/ar/lu/luLandDet.jsp?pnu=3611032023101040008&amp;isNoScr=script&amp;mode=search", "토지이음")</f>
        <v/>
      </c>
      <c r="O1609" s="3" t="inlineStr">
        <is>
          <t>대유</t>
        </is>
      </c>
      <c r="P1609" s="4" t="n">
        <v>1</v>
      </c>
      <c r="Q1609" s="4" t="n">
        <v>506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29700</v>
      </c>
      <c r="G1610" s="4" t="n">
        <v>1121</v>
      </c>
      <c r="H1610" s="4" t="n">
        <v>339</v>
      </c>
      <c r="I1610" s="5" t="n">
        <v>87.59999999999999</v>
      </c>
      <c r="J1610" s="5" t="n">
        <v>35.5</v>
      </c>
      <c r="K1610" s="3" t="inlineStr">
        <is>
          <t>세종시 연동면 명학리 소형 토지 매매</t>
        </is>
      </c>
      <c r="L1610" s="6">
        <f>HYPERLINK("https://fin.land.naver.com/articles/2655172489",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하이엔드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137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64400</v>
      </c>
      <c r="G1611" s="4" t="n">
        <v>1121</v>
      </c>
      <c r="H1611" s="4" t="n">
        <v>339</v>
      </c>
      <c r="I1611" s="5" t="n">
        <v>190</v>
      </c>
      <c r="J1611" s="5" t="n">
        <v>35.5</v>
      </c>
      <c r="K1611" s="3" t="inlineStr">
        <is>
          <t>세종 연동면 명학리 보전관리지역 토지 매매</t>
        </is>
      </c>
      <c r="L1611" s="6">
        <f>HYPERLINK("https://fin.land.naver.com/articles/2655671814", "매물Link")</f>
        <v/>
      </c>
      <c r="M1611" s="6">
        <f>HYPERLINK("https://map.naver.com/p/search/연동면 명학리 137", "지도Link")</f>
        <v/>
      </c>
      <c r="N1611" s="6">
        <f>HYPERLINK("http://www.eum.go.kr/web/ar/lu/luLandDet.jsp?pnu=3611032023101370000&amp;isNoScr=script&amp;mode=search", "토지이음")</f>
        <v/>
      </c>
      <c r="O1611" s="3" t="inlineStr">
        <is>
          <t>세종몽땅</t>
        </is>
      </c>
      <c r="P1611" s="4" t="n">
        <v>1</v>
      </c>
      <c r="Q1611" s="4" t="n">
        <v>1121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148-3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45000</v>
      </c>
      <c r="G1612" s="4" t="n">
        <v>365</v>
      </c>
      <c r="H1612" s="4" t="n">
        <v>110</v>
      </c>
      <c r="I1612" s="5" t="n">
        <v>409.1</v>
      </c>
      <c r="J1612" s="5" t="n">
        <v>113.6</v>
      </c>
      <c r="K1612" s="3" t="inlineStr">
        <is>
          <t>2차선 도로변에 있는 대지로 활용도 높음, 5생활권 초인접 투자로 추천</t>
        </is>
      </c>
      <c r="L1612" s="6">
        <f>HYPERLINK("https://fin.land.naver.com/articles/2650976147", "매물Link")</f>
        <v/>
      </c>
      <c r="M1612" s="6">
        <f>HYPERLINK("https://map.naver.com/p/search/연동면 명학리 148-3", "지도Link")</f>
        <v/>
      </c>
      <c r="N1612" s="6">
        <f>HYPERLINK("http://www.eum.go.kr/web/ar/lu/luLandDet.jsp?pnu=3611032023101480003&amp;isNoScr=script&amp;mode=search", "토지이음")</f>
        <v/>
      </c>
      <c r="O1612" s="3" t="inlineStr">
        <is>
          <t>샘머리랜드</t>
        </is>
      </c>
      <c r="P1612" s="4" t="n">
        <v>1</v>
      </c>
      <c r="Q1612" s="4" t="n">
        <v>365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연동면 명학리 195-3</t>
        </is>
      </c>
      <c r="B1613" s="3" t="inlineStr">
        <is>
          <t>계획관리지역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173000</v>
      </c>
      <c r="G1613" s="4" t="n">
        <v>1636</v>
      </c>
      <c r="H1613" s="4" t="n">
        <v>495</v>
      </c>
      <c r="I1613" s="5" t="n">
        <v>349.5</v>
      </c>
      <c r="J1613" s="5" t="n">
        <v>75.90000000000001</v>
      </c>
      <c r="K1613" s="3" t="inlineStr">
        <is>
          <t>도로변 계획관리 토지 매매</t>
        </is>
      </c>
      <c r="L1613" s="6">
        <f>HYPERLINK("https://fin.land.naver.com/articles/2652668223", "매물Link")</f>
        <v/>
      </c>
      <c r="M1613" s="6">
        <f>HYPERLINK("https://map.naver.com/p/search/연동면 명학리 195-3", "지도Link")</f>
        <v/>
      </c>
      <c r="N1613" s="6">
        <f>HYPERLINK("http://www.eum.go.kr/web/ar/lu/luLandDet.jsp?pnu=3611032023101950003&amp;isNoScr=script&amp;mode=search", "토지이음")</f>
        <v/>
      </c>
      <c r="O1613" s="3" t="inlineStr">
        <is>
          <t>(주)정민근</t>
        </is>
      </c>
      <c r="P1613" s="4" t="n">
        <v>1</v>
      </c>
      <c r="Q1613" s="4" t="n">
        <v>1636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연동면 명학리 220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50000</v>
      </c>
      <c r="G1614" s="4" t="n">
        <v>446</v>
      </c>
      <c r="H1614" s="4" t="n">
        <v>135</v>
      </c>
      <c r="I1614" s="5" t="n">
        <v>370.4</v>
      </c>
      <c r="J1614" s="5" t="n">
        <v>98.7</v>
      </c>
      <c r="K1614" s="3" t="inlineStr">
        <is>
          <t>딱좋은면적 135P 취락지구마을내토지 도로변넓음</t>
        </is>
      </c>
      <c r="L1614" s="6">
        <f>HYPERLINK("https://fin.land.naver.com/articles/2653316551", "매물Link")</f>
        <v/>
      </c>
      <c r="M1614" s="6">
        <f>HYPERLINK("https://map.naver.com/p/search/연동면 명학리 220", "지도Link")</f>
        <v/>
      </c>
      <c r="N1614" s="6">
        <f>HYPERLINK("http://www.eum.go.kr/web/ar/lu/luLandDet.jsp?pnu=3611032023102200000&amp;isNoScr=script&amp;mode=search", "토지이음")</f>
        <v/>
      </c>
      <c r="O1614" s="3" t="inlineStr">
        <is>
          <t>세종365</t>
        </is>
      </c>
      <c r="P1614" s="4" t="n">
        <v>1</v>
      </c>
      <c r="Q1614" s="4" t="n">
        <v>446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82460</v>
      </c>
      <c r="G1621" s="4" t="n">
        <v>720</v>
      </c>
      <c r="H1621" s="4" t="n">
        <v>218</v>
      </c>
      <c r="I1621" s="5" t="n">
        <v>378.3</v>
      </c>
      <c r="J1621" s="5" t="n">
        <v>52.8</v>
      </c>
      <c r="K1621" s="3" t="inlineStr">
        <is>
          <t>명성공인, 명학리 계획관리지역 추천 매물</t>
        </is>
      </c>
      <c r="L1621" s="6">
        <f>HYPERLINK("https://fin.land.naver.com/articles/2653839501",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명성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71900</v>
      </c>
      <c r="G1622" s="4" t="n">
        <v>720</v>
      </c>
      <c r="H1622" s="4" t="n">
        <v>218</v>
      </c>
      <c r="I1622" s="5" t="n">
        <v>329.8</v>
      </c>
      <c r="J1622" s="5" t="n">
        <v>52.8</v>
      </c>
      <c r="K1622" s="3" t="inlineStr">
        <is>
          <t>nan</t>
        </is>
      </c>
      <c r="L1622" s="6">
        <f>HYPERLINK("https://fin.land.naver.com/articles/2653390968",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다산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705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49000</v>
      </c>
      <c r="G1624" s="4" t="n">
        <v>1076</v>
      </c>
      <c r="H1624" s="4" t="n">
        <v>325</v>
      </c>
      <c r="I1624" s="5" t="n">
        <v>150.8</v>
      </c>
      <c r="J1624" s="5" t="n">
        <v>30.1</v>
      </c>
      <c r="K1624" s="3" t="inlineStr">
        <is>
          <t>세종시 연동면 명학리 명학산업단지 인근 농지</t>
        </is>
      </c>
      <c r="L1624" s="6">
        <f>HYPERLINK("https://fin.land.naver.com/articles/2655171375", "매물Link")</f>
        <v/>
      </c>
      <c r="M1624" s="6">
        <f>HYPERLINK("https://map.naver.com/p/search/연동면 명학리 705", "지도Link")</f>
        <v/>
      </c>
      <c r="N1624" s="6">
        <f>HYPERLINK("http://www.eum.go.kr/web/ar/lu/luLandDet.jsp?pnu=3611032023107050000&amp;isNoScr=script&amp;mode=search", "토지이음")</f>
        <v/>
      </c>
      <c r="O1624" s="3" t="inlineStr">
        <is>
          <t>하이엔드</t>
        </is>
      </c>
      <c r="P1624" s="4" t="n">
        <v>1</v>
      </c>
      <c r="Q1624" s="4" t="n">
        <v>1076.6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844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20000</v>
      </c>
      <c r="G1625" s="4" t="n">
        <v>1319</v>
      </c>
      <c r="H1625" s="4" t="n">
        <v>399</v>
      </c>
      <c r="I1625" s="5" t="n">
        <v>50.1</v>
      </c>
      <c r="J1625" s="5" t="n">
        <v>28.5</v>
      </c>
      <c r="K1625" s="3" t="inlineStr">
        <is>
          <t>nan</t>
        </is>
      </c>
      <c r="L1625" s="6">
        <f>HYPERLINK("https://fin.land.naver.com/articles/2651581324", "매물Link")</f>
        <v/>
      </c>
      <c r="M1625" s="6">
        <f>HYPERLINK("https://map.naver.com/p/search/연동면 명학리 844", "지도Link")</f>
        <v/>
      </c>
      <c r="N1625" s="6">
        <f>HYPERLINK("http://www.eum.go.kr/web/ar/lu/luLandDet.jsp?pnu=3611032023108440000&amp;isNoScr=script&amp;mode=search", "토지이음")</f>
        <v/>
      </c>
      <c r="O1625" s="3" t="inlineStr">
        <is>
          <t>세종몽땅</t>
        </is>
      </c>
      <c r="P1625" s="4" t="n">
        <v>1</v>
      </c>
      <c r="Q1625" s="4" t="n">
        <v>1319.4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nan</t>
        </is>
      </c>
      <c r="L1626" s="6">
        <f>HYPERLINK("https://fin.land.naver.com/articles/2653598595",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THE동아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부강역 생활권 평탄 농지, 자경 및 주말농장 검토 적합</t>
        </is>
      </c>
      <c r="L1627" s="6">
        <f>HYPERLINK("https://fin.land.naver.com/articles/2650905086",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93-4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110000</v>
      </c>
      <c r="G1628" s="4" t="n">
        <v>3819</v>
      </c>
      <c r="H1628" s="4" t="n">
        <v>1155</v>
      </c>
      <c r="I1628" s="5" t="n">
        <v>95.2</v>
      </c>
      <c r="J1628" s="5" t="n">
        <v>56.3</v>
      </c>
      <c r="K1628" s="3" t="inlineStr">
        <is>
          <t>계획관리 전. 3필지입니다. 현재 전으로 사용 중</t>
        </is>
      </c>
      <c r="L1628" s="6">
        <f>HYPERLINK("https://fin.land.naver.com/articles/2654233392", "매물Link")</f>
        <v/>
      </c>
      <c r="M1628" s="6">
        <f>HYPERLINK("https://map.naver.com/p/search/연동면 명학리 93-4", "지도Link")</f>
        <v/>
      </c>
      <c r="N1628" s="6">
        <f>HYPERLINK("http://www.eum.go.kr/web/ar/lu/luLandDet.jsp?pnu=3611032023100930004&amp;isNoScr=script&amp;mode=search",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1865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연동면 명학리 산22-1</t>
        </is>
      </c>
      <c r="B1629" s="3" t="inlineStr">
        <is>
          <t>보전관리지역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750000</v>
      </c>
      <c r="G1629" s="4" t="n">
        <v>21089</v>
      </c>
      <c r="H1629" s="4" t="n">
        <v>6379</v>
      </c>
      <c r="I1629" s="5" t="n">
        <v>117.6</v>
      </c>
      <c r="J1629" s="5" t="n">
        <v>10</v>
      </c>
      <c r="K1629" s="3" t="inlineStr">
        <is>
          <t>행정중심복합도시 근접, 전원주택지 개발 및 토목공사로 체류형쉼터 개발</t>
        </is>
      </c>
      <c r="L1629" s="6">
        <f>HYPERLINK("https://fin.land.naver.com/articles/2654443210", "매물Link")</f>
        <v/>
      </c>
      <c r="M1629" s="6">
        <f>HYPERLINK("https://map.naver.com/p/search/연동면 명학리 산22-1", "지도Link")</f>
        <v/>
      </c>
      <c r="N1629" s="6">
        <f>HYPERLINK("http://www.eum.go.kr/web/ar/lu/luLandDet.jsp?pnu=3611032023200220001&amp;isNoScr=script&amp;mode=search", "토지이음")</f>
        <v/>
      </c>
      <c r="O1629" s="3" t="inlineStr">
        <is>
          <t>나릿재슬기로운</t>
        </is>
      </c>
      <c r="P1629" s="4" t="n">
        <v>1</v>
      </c>
      <c r="Q1629" s="4" t="n">
        <v>8920</v>
      </c>
      <c r="R1629" s="3" t="inlineStr">
        <is>
          <t>지정되지않음</t>
        </is>
      </c>
      <c r="S1629" s="3" t="inlineStr">
        <is>
          <t>자연림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연동면 문주리 145-8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18000</v>
      </c>
      <c r="G1630" s="4" t="n">
        <v>235</v>
      </c>
      <c r="H1630" s="4" t="n">
        <v>71</v>
      </c>
      <c r="I1630" s="5" t="n">
        <v>253.5</v>
      </c>
      <c r="J1630" s="5" t="n">
        <v>75</v>
      </c>
      <c r="K1630" s="3" t="inlineStr">
        <is>
          <t>급매, 계획관리지역, 도로 접한 형상 좋은 대지입니다.</t>
        </is>
      </c>
      <c r="L1630" s="6">
        <f>HYPERLINK("https://fin.land.naver.com/articles/2652612115", "매물Link")</f>
        <v/>
      </c>
      <c r="M1630" s="6">
        <f>HYPERLINK("https://map.naver.com/p/search/연동면 문주리 145-8", "지도Link")</f>
        <v/>
      </c>
      <c r="N1630" s="6">
        <f>HYPERLINK("http://www.eum.go.kr/web/ar/lu/luLandDet.jsp?pnu=3611032022101450008&amp;isNoScr=script&amp;mode=search", "토지이음")</f>
        <v/>
      </c>
      <c r="O1630" s="3" t="inlineStr">
        <is>
          <t>나폴리</t>
        </is>
      </c>
      <c r="P1630" s="4" t="n">
        <v>1</v>
      </c>
      <c r="Q1630" s="4" t="n">
        <v>235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문주리 956-3</t>
        </is>
      </c>
      <c r="B1631" s="3" t="inlineStr">
        <is>
          <t>농림지역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88700</v>
      </c>
      <c r="G1631" s="4" t="n">
        <v>2930</v>
      </c>
      <c r="H1631" s="4" t="n">
        <v>886</v>
      </c>
      <c r="I1631" s="5" t="n">
        <v>100.1</v>
      </c>
      <c r="J1631" s="5" t="n">
        <v>24.5</v>
      </c>
      <c r="K1631" s="3" t="inlineStr">
        <is>
          <t>구거 통해도로와 접한 농지,바로옆 도로 공사중</t>
        </is>
      </c>
      <c r="L1631" s="6">
        <f>HYPERLINK("https://fin.land.naver.com/articles/2654531733", "매물Link")</f>
        <v/>
      </c>
      <c r="M1631" s="6">
        <f>HYPERLINK("https://map.naver.com/p/search/연동면 문주리 956-3", "지도Link")</f>
        <v/>
      </c>
      <c r="N1631" s="6">
        <f>HYPERLINK("http://www.eum.go.kr/web/ar/lu/luLandDet.jsp?pnu=3611032022109560003&amp;isNoScr=script&amp;mode=search", "토지이음")</f>
        <v/>
      </c>
      <c r="O1631" s="3" t="inlineStr">
        <is>
          <t>향기나는방</t>
        </is>
      </c>
      <c r="P1631" s="4" t="n">
        <v>1</v>
      </c>
      <c r="Q1631" s="4" t="n">
        <v>2930.7</v>
      </c>
      <c r="R1631" s="3" t="inlineStr">
        <is>
          <t>지정되지않음</t>
        </is>
      </c>
      <c r="S1631" s="3" t="inlineStr">
        <is>
          <t>답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연동면 문주리 967-7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61000</v>
      </c>
      <c r="G1632" s="4" t="n">
        <v>2523</v>
      </c>
      <c r="H1632" s="4" t="n">
        <v>763</v>
      </c>
      <c r="I1632" s="5" t="n">
        <v>79.90000000000001</v>
      </c>
      <c r="J1632" s="5" t="n">
        <v>23.5</v>
      </c>
      <c r="K1632" s="3" t="inlineStr">
        <is>
          <t>nan</t>
        </is>
      </c>
      <c r="L1632" s="6">
        <f>HYPERLINK("https://fin.land.naver.com/articles/2651578350", "매물Link")</f>
        <v/>
      </c>
      <c r="M1632" s="6">
        <f>HYPERLINK("https://map.naver.com/p/search/연동면 문주리 967-7", "지도Link")</f>
        <v/>
      </c>
      <c r="N1632" s="6">
        <f>HYPERLINK("http://www.eum.go.kr/web/ar/lu/luLandDet.jsp?pnu=3611032022109670007&amp;isNoScr=script&amp;mode=search", "토지이음")</f>
        <v/>
      </c>
      <c r="O1632" s="3" t="inlineStr">
        <is>
          <t>세종몽땅</t>
        </is>
      </c>
      <c r="P1632" s="4" t="n">
        <v>1</v>
      </c>
      <c r="Q1632" s="4" t="n">
        <v>2523.7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연동면 송용리 1025-4</t>
        </is>
      </c>
      <c r="B1633" s="3" t="inlineStr">
        <is>
          <t>농림지역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13600</v>
      </c>
      <c r="G1633" s="4" t="n">
        <v>998</v>
      </c>
      <c r="H1633" s="4" t="n">
        <v>302</v>
      </c>
      <c r="I1633" s="5" t="n">
        <v>45</v>
      </c>
      <c r="J1633" s="5" t="n">
        <v>24.1</v>
      </c>
      <c r="K1633" s="3" t="inlineStr">
        <is>
          <t>급매 소액으로 농지구매하실분 대토하실분 추천</t>
        </is>
      </c>
      <c r="L1633" s="6">
        <f>HYPERLINK("https://fin.land.naver.com/articles/2654338905", "매물Link")</f>
        <v/>
      </c>
      <c r="M1633" s="6">
        <f>HYPERLINK("https://map.naver.com/p/search/연동면 송용리 1025-4", "지도Link")</f>
        <v/>
      </c>
      <c r="N1633" s="6">
        <f>HYPERLINK("http://www.eum.go.kr/web/ar/lu/luLandDet.jsp?pnu=3611032027110250004&amp;isNoScr=script&amp;mode=search", "토지이음")</f>
        <v/>
      </c>
      <c r="O1633" s="3" t="inlineStr">
        <is>
          <t>OK수</t>
        </is>
      </c>
      <c r="P1633" s="4" t="n">
        <v>1</v>
      </c>
      <c r="Q1633" s="4" t="n">
        <v>998.9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연동면 송용리 1025-4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13600</v>
      </c>
      <c r="G1634" s="4" t="n">
        <v>998</v>
      </c>
      <c r="H1634" s="4" t="n">
        <v>302</v>
      </c>
      <c r="I1634" s="5" t="n">
        <v>45</v>
      </c>
      <c r="J1634" s="5" t="n">
        <v>24.1</v>
      </c>
      <c r="K1634" s="3" t="inlineStr">
        <is>
          <t>주변 시세대비 아주저렴</t>
        </is>
      </c>
      <c r="L1634" s="6">
        <f>HYPERLINK("https://fin.land.naver.com/articles/2654418969", "매물Link")</f>
        <v/>
      </c>
      <c r="M1634" s="6">
        <f>HYPERLINK("https://map.naver.com/p/search/연동면 송용리 1025-4", "지도Link")</f>
        <v/>
      </c>
      <c r="N1634" s="6">
        <f>HYPERLINK("http://www.eum.go.kr/web/ar/lu/luLandDet.jsp?pnu=3611032027110250004&amp;isNoScr=script&amp;mode=search", "토지이음")</f>
        <v/>
      </c>
      <c r="O1634" s="3" t="inlineStr">
        <is>
          <t>세종땅전문</t>
        </is>
      </c>
      <c r="P1634" s="4" t="n">
        <v>1</v>
      </c>
      <c r="Q1634" s="4" t="n">
        <v>998.9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연동면 송용리 179-2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250000</v>
      </c>
      <c r="G1635" s="4" t="n">
        <v>1837</v>
      </c>
      <c r="H1635" s="4" t="n">
        <v>556</v>
      </c>
      <c r="I1635" s="5" t="n">
        <v>449.6</v>
      </c>
      <c r="J1635" s="5" t="n">
        <v>309.9</v>
      </c>
      <c r="K1635" s="3" t="inlineStr">
        <is>
          <t>연동면 대형 식당자리 추천</t>
        </is>
      </c>
      <c r="L1635" s="6">
        <f>HYPERLINK("https://fin.land.naver.com/articles/2656313499", "매물Link")</f>
        <v/>
      </c>
      <c r="M1635" s="6">
        <f>HYPERLINK("https://map.naver.com/p/search/연동면 송용리 179-2", "지도Link")</f>
        <v/>
      </c>
      <c r="N1635" s="6">
        <f>HYPERLINK("http://www.eum.go.kr/web/ar/lu/luLandDet.jsp?pnu=3611032027101790002&amp;isNoScr=script&amp;mode=search",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1358</v>
      </c>
      <c r="R1635" s="3" t="inlineStr">
        <is>
          <t>지정되지않음</t>
        </is>
      </c>
      <c r="S1635" s="3" t="inlineStr">
        <is>
          <t>상업용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연동면 송용리 213-4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70000</v>
      </c>
      <c r="G1636" s="4" t="n">
        <v>662</v>
      </c>
      <c r="H1636" s="4" t="n">
        <v>200</v>
      </c>
      <c r="I1636" s="5" t="n">
        <v>350</v>
      </c>
      <c r="J1636" s="5" t="n">
        <v>62</v>
      </c>
      <c r="K1636" s="3" t="inlineStr">
        <is>
          <t>계획관리지역으로 8미터이상 도로에 접한 직사각형 토지, 주변환경 좋음</t>
        </is>
      </c>
      <c r="L1636" s="6">
        <f>HYPERLINK("https://fin.land.naver.com/articles/2651092741", "매물Link")</f>
        <v/>
      </c>
      <c r="M1636" s="6">
        <f>HYPERLINK("https://map.naver.com/p/search/연동면 송용리 213-4", "지도Link")</f>
        <v/>
      </c>
      <c r="N1636" s="6">
        <f>HYPERLINK("http://www.eum.go.kr/web/ar/lu/luLandDet.jsp?pnu=3611032027102130004&amp;isNoScr=script&amp;mode=search", "토지이음")</f>
        <v/>
      </c>
      <c r="O1636" s="3" t="inlineStr">
        <is>
          <t>가수원</t>
        </is>
      </c>
      <c r="P1636" s="4" t="n">
        <v>1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연동면 송용리 213-6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66000</v>
      </c>
      <c r="G1637" s="4" t="n">
        <v>662</v>
      </c>
      <c r="H1637" s="4" t="n">
        <v>200</v>
      </c>
      <c r="I1637" s="5" t="n">
        <v>330</v>
      </c>
      <c r="J1637" s="5" t="n">
        <v>62</v>
      </c>
      <c r="K1637" s="3" t="inlineStr">
        <is>
          <t>급매. 5생활권 인접 도로접한 토지</t>
        </is>
      </c>
      <c r="L1637" s="6">
        <f>HYPERLINK("https://fin.land.naver.com/articles/2651944218", "매물Link")</f>
        <v/>
      </c>
      <c r="M1637" s="6">
        <f>HYPERLINK("https://map.naver.com/p/search/연동면 송용리 213-6", "지도Link")</f>
        <v/>
      </c>
      <c r="N1637" s="6">
        <f>HYPERLINK("http://www.eum.go.kr/web/ar/lu/luLandDet.jsp?pnu=3611032027102130006&amp;isNoScr=script&amp;mode=search",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연동면 송용리 261-8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329000</v>
      </c>
      <c r="G1638" s="4" t="n">
        <v>4350</v>
      </c>
      <c r="H1638" s="4" t="n">
        <v>1316</v>
      </c>
      <c r="I1638" s="5" t="n">
        <v>250</v>
      </c>
      <c r="J1638" s="5" t="n">
        <v>121.3</v>
      </c>
      <c r="K1638" s="3" t="inlineStr">
        <is>
          <t>nan</t>
        </is>
      </c>
      <c r="L1638" s="6">
        <f>HYPERLINK("https://fin.land.naver.com/articles/2653659850", "매물Link")</f>
        <v/>
      </c>
      <c r="M1638" s="6">
        <f>HYPERLINK("https://map.naver.com/p/search/연동면 송용리 261-8", "지도Link")</f>
        <v/>
      </c>
      <c r="N1638" s="6">
        <f>HYPERLINK("http://www.eum.go.kr/web/ar/lu/luLandDet.jsp?pnu=3611032027102610008&amp;isNoScr=script&amp;mode=search", "토지이음")</f>
        <v/>
      </c>
      <c r="O1638" s="3" t="inlineStr">
        <is>
          <t>생명나무</t>
        </is>
      </c>
      <c r="P1638" s="4" t="n">
        <v>1</v>
      </c>
      <c r="Q1638" s="4" t="n">
        <v>2093</v>
      </c>
      <c r="R1638" s="3" t="inlineStr">
        <is>
          <t>지정되지않음</t>
        </is>
      </c>
      <c r="S1638" s="3" t="inlineStr">
        <is>
          <t>주상용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연동면 송용리 262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400000</v>
      </c>
      <c r="G1639" s="4" t="n">
        <v>2915</v>
      </c>
      <c r="H1639" s="4" t="n">
        <v>882</v>
      </c>
      <c r="I1639" s="5" t="n">
        <v>453.5</v>
      </c>
      <c r="J1639" s="5" t="n">
        <v>263.1</v>
      </c>
      <c r="K1639" s="3" t="inlineStr">
        <is>
          <t>5생활권 2차선변 근생건물, 토지</t>
        </is>
      </c>
      <c r="L1639" s="6">
        <f>HYPERLINK("https://fin.land.naver.com/articles/2653738491", "매물Link")</f>
        <v/>
      </c>
      <c r="M1639" s="6">
        <f>HYPERLINK("https://map.naver.com/p/search/연동면 송용리 262", "지도Link")</f>
        <v/>
      </c>
      <c r="N1639" s="6">
        <f>HYPERLINK("http://www.eum.go.kr/web/ar/lu/luLandDet.jsp?pnu=3611032027102620000&amp;isNoScr=script&amp;mode=search", "토지이음")</f>
        <v/>
      </c>
      <c r="O1639" s="3" t="inlineStr">
        <is>
          <t>세종큰길</t>
        </is>
      </c>
      <c r="P1639" s="4" t="n">
        <v>1</v>
      </c>
      <c r="Q1639" s="4" t="n">
        <v>1915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연동면 송용리 4-1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31000</v>
      </c>
      <c r="G1640" s="4" t="n">
        <v>421</v>
      </c>
      <c r="H1640" s="4" t="n">
        <v>127</v>
      </c>
      <c r="I1640" s="5" t="n">
        <v>244.1</v>
      </c>
      <c r="J1640" s="5" t="n">
        <v>69.5</v>
      </c>
      <c r="K1640" s="3" t="inlineStr">
        <is>
          <t>추천. 세종시 인근 주택지</t>
        </is>
      </c>
      <c r="L1640" s="6">
        <f>HYPERLINK("https://fin.land.naver.com/articles/2651922610", "매물Link")</f>
        <v/>
      </c>
      <c r="M1640" s="6">
        <f>HYPERLINK("https://map.naver.com/p/search/연동면 송용리 4-1", "지도Link")</f>
        <v/>
      </c>
      <c r="N1640" s="6">
        <f>HYPERLINK("http://www.eum.go.kr/web/ar/lu/luLandDet.jsp?pnu=3611032027100040001&amp;isNoScr=script&amp;mode=search",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401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82-1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56200</v>
      </c>
      <c r="G1641" s="4" t="n">
        <v>1095</v>
      </c>
      <c r="H1641" s="4" t="n">
        <v>331</v>
      </c>
      <c r="I1641" s="5" t="n">
        <v>169.8</v>
      </c>
      <c r="J1641" s="5" t="n">
        <v>37.1</v>
      </c>
      <c r="K1641" s="3" t="inlineStr">
        <is>
          <t>nan</t>
        </is>
      </c>
      <c r="L1641" s="6">
        <f>HYPERLINK("https://fin.land.naver.com/articles/2653986067", "매물Link")</f>
        <v/>
      </c>
      <c r="M1641" s="6">
        <f>HYPERLINK("https://map.naver.com/p/search/연동면 송용리 82-1", "지도Link")</f>
        <v/>
      </c>
      <c r="N1641" s="6">
        <f>HYPERLINK("http://www.eum.go.kr/web/ar/lu/luLandDet.jsp?pnu=3611032027100820001&amp;isNoScr=script&amp;mode=search", "토지이음")</f>
        <v/>
      </c>
      <c r="O1641" s="3" t="inlineStr">
        <is>
          <t>장원</t>
        </is>
      </c>
      <c r="P1641" s="4" t="n">
        <v>1</v>
      </c>
      <c r="Q1641" s="4" t="n">
        <v>1095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연동면 송용리 922-4</t>
        </is>
      </c>
      <c r="B1642" s="3" t="inlineStr">
        <is>
          <t>계획관리지역</t>
        </is>
      </c>
      <c r="C1642" s="3" t="inlineStr">
        <is>
          <t>도로</t>
        </is>
      </c>
      <c r="D1642" s="3" t="inlineStr">
        <is>
          <t>전</t>
        </is>
      </c>
      <c r="E1642" s="3" t="inlineStr">
        <is>
          <t>매매</t>
        </is>
      </c>
      <c r="F1642" s="4" t="n">
        <v>162000</v>
      </c>
      <c r="G1642" s="4" t="n">
        <v>1983</v>
      </c>
      <c r="H1642" s="4" t="n">
        <v>600</v>
      </c>
      <c r="I1642" s="5" t="n">
        <v>270</v>
      </c>
      <c r="J1642" s="5" t="n">
        <v>15.7</v>
      </c>
      <c r="K1642" s="3" t="inlineStr">
        <is>
          <t>계획관리 투자용으로도 좋아요</t>
        </is>
      </c>
      <c r="L1642" s="6">
        <f>HYPERLINK("https://fin.land.naver.com/articles/2654181421", "매물Link")</f>
        <v/>
      </c>
      <c r="M1642" s="6">
        <f>HYPERLINK("https://map.naver.com/p/search/연동면 송용리 922-4", "지도Link")</f>
        <v/>
      </c>
      <c r="N1642" s="6">
        <f>HYPERLINK("http://www.eum.go.kr/web/ar/lu/luLandDet.jsp?pnu=3611032027109220004&amp;isNoScr=script&amp;mode=search",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3163</v>
      </c>
      <c r="R1642" s="3" t="inlineStr">
        <is>
          <t>지정되지않음</t>
        </is>
      </c>
      <c r="S1642" s="3" t="inlineStr">
        <is>
          <t>도로등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지정되지않음</t>
        </is>
      </c>
    </row>
    <row r="1643">
      <c r="A1643" s="3" t="inlineStr">
        <is>
          <t>연동면 송용리 940-1</t>
        </is>
      </c>
      <c r="B1643" s="3" t="inlineStr">
        <is>
          <t>농림지역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91000</v>
      </c>
      <c r="G1643" s="4" t="n">
        <v>4595</v>
      </c>
      <c r="H1643" s="4" t="n">
        <v>1390</v>
      </c>
      <c r="I1643" s="5" t="n">
        <v>65.5</v>
      </c>
      <c r="J1643" s="5" t="n">
        <v>25.1</v>
      </c>
      <c r="K1643" s="3" t="inlineStr">
        <is>
          <t>강변 근처 토지</t>
        </is>
      </c>
      <c r="L1643" s="6">
        <f>HYPERLINK("https://fin.land.naver.com/articles/2651714905", "매물Link")</f>
        <v/>
      </c>
      <c r="M1643" s="6">
        <f>HYPERLINK("https://map.naver.com/p/search/연동면 송용리 940-1", "지도Link")</f>
        <v/>
      </c>
      <c r="N1643" s="6">
        <f>HYPERLINK("http://www.eum.go.kr/web/ar/lu/luLandDet.jsp?pnu=3611032027109400001&amp;isNoScr=script&amp;mode=search", "토지이음")</f>
        <v/>
      </c>
      <c r="O1643" s="3" t="inlineStr">
        <is>
          <t>이레</t>
        </is>
      </c>
      <c r="P1643" s="4" t="n">
        <v>1</v>
      </c>
      <c r="Q1643" s="4" t="n">
        <v>4595.4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940-3</t>
        </is>
      </c>
      <c r="B1644" s="3" t="inlineStr">
        <is>
          <t>농림지역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18000</v>
      </c>
      <c r="G1644" s="4" t="n">
        <v>1381</v>
      </c>
      <c r="H1644" s="4" t="n">
        <v>418</v>
      </c>
      <c r="I1644" s="5" t="n">
        <v>43.1</v>
      </c>
      <c r="J1644" s="5" t="n">
        <v>25.5</v>
      </c>
      <c r="K1644" s="3" t="inlineStr">
        <is>
          <t>세종시 토지로 적은 금액으로 투자하기 좋은 곳</t>
        </is>
      </c>
      <c r="L1644" s="6">
        <f>HYPERLINK("https://fin.land.naver.com/articles/2651419402", "매물Link")</f>
        <v/>
      </c>
      <c r="M1644" s="6">
        <f>HYPERLINK("https://map.naver.com/p/search/연동면 송용리 940-3", "지도Link")</f>
        <v/>
      </c>
      <c r="N1644" s="6">
        <f>HYPERLINK("http://www.eum.go.kr/web/ar/lu/luLandDet.jsp?pnu=3611032027109400003&amp;isNoScr=script&amp;mode=search", "토지이음")</f>
        <v/>
      </c>
      <c r="O1644" s="3" t="inlineStr">
        <is>
          <t>오송이가</t>
        </is>
      </c>
      <c r="P1644" s="4" t="n">
        <v>1</v>
      </c>
      <c r="Q1644" s="4" t="n">
        <v>1381.4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세로각지(가)</t>
        </is>
      </c>
    </row>
    <row r="1645">
      <c r="A1645" s="3" t="inlineStr">
        <is>
          <t>연동면 송용리 940-3</t>
        </is>
      </c>
      <c r="B1645" s="3" t="inlineStr">
        <is>
          <t>농림지역</t>
        </is>
      </c>
      <c r="C1645" s="3" t="inlineStr">
        <is>
          <t>과수원</t>
        </is>
      </c>
      <c r="D1645" s="3" t="inlineStr">
        <is>
          <t>과수원</t>
        </is>
      </c>
      <c r="E1645" s="3" t="inlineStr">
        <is>
          <t>매매</t>
        </is>
      </c>
      <c r="F1645" s="4" t="n">
        <v>18000</v>
      </c>
      <c r="G1645" s="4" t="n">
        <v>1381</v>
      </c>
      <c r="H1645" s="4" t="n">
        <v>418</v>
      </c>
      <c r="I1645" s="5" t="n">
        <v>43.1</v>
      </c>
      <c r="J1645" s="5" t="n">
        <v>25.5</v>
      </c>
      <c r="K1645" s="3" t="inlineStr">
        <is>
          <t>가격절충</t>
        </is>
      </c>
      <c r="L1645" s="6">
        <f>HYPERLINK("https://fin.land.naver.com/articles/2651729422", "매물Link")</f>
        <v/>
      </c>
      <c r="M1645" s="6">
        <f>HYPERLINK("https://map.naver.com/p/search/연동면 송용리 940-3", "지도Link")</f>
        <v/>
      </c>
      <c r="N1645" s="6">
        <f>HYPERLINK("http://www.eum.go.kr/web/ar/lu/luLandDet.jsp?pnu=3611032027109400003&amp;isNoScr=script&amp;mode=search", "토지이음")</f>
        <v/>
      </c>
      <c r="O1645" s="3" t="inlineStr">
        <is>
          <t>세종땅전문</t>
        </is>
      </c>
      <c r="P1645" s="4" t="n">
        <v>1</v>
      </c>
      <c r="Q1645" s="4" t="n">
        <v>1381.4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세로각지(가)</t>
        </is>
      </c>
    </row>
    <row r="1646">
      <c r="A1646" s="3" t="inlineStr">
        <is>
          <t>연동면 송용리 940-5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71000</v>
      </c>
      <c r="G1646" s="4" t="n">
        <v>4848</v>
      </c>
      <c r="H1646" s="4" t="n">
        <v>1467</v>
      </c>
      <c r="I1646" s="5" t="n">
        <v>48.4</v>
      </c>
      <c r="J1646" s="5" t="n">
        <v>24.8</v>
      </c>
      <c r="K1646" s="3" t="inlineStr">
        <is>
          <t>예쁜 토지</t>
        </is>
      </c>
      <c r="L1646" s="6">
        <f>HYPERLINK("https://fin.land.naver.com/articles/2650920227", "매물Link")</f>
        <v/>
      </c>
      <c r="M1646" s="6">
        <f>HYPERLINK("https://map.naver.com/p/search/연동면 송용리 940-5", "지도Link")</f>
        <v/>
      </c>
      <c r="N1646" s="6">
        <f>HYPERLINK("http://www.eum.go.kr/web/ar/lu/luLandDet.jsp?pnu=3611032027109400005&amp;isNoScr=script&amp;mode=search", "토지이음")</f>
        <v/>
      </c>
      <c r="O1646" s="3" t="inlineStr">
        <is>
          <t>전원비래</t>
        </is>
      </c>
      <c r="P1646" s="4" t="n">
        <v>1</v>
      </c>
      <c r="Q1646" s="4" t="n">
        <v>4848.2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연동면 송용리 963-10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49000</v>
      </c>
      <c r="G1647" s="4" t="n">
        <v>3382</v>
      </c>
      <c r="H1647" s="4" t="n">
        <v>1023</v>
      </c>
      <c r="I1647" s="5" t="n">
        <v>47.9</v>
      </c>
      <c r="J1647" s="5" t="n">
        <v>23.8</v>
      </c>
      <c r="K1647" s="3" t="inlineStr">
        <is>
          <t>nan</t>
        </is>
      </c>
      <c r="L1647" s="6">
        <f>HYPERLINK("https://fin.land.naver.com/articles/2651729295", "매물Link")</f>
        <v/>
      </c>
      <c r="M1647" s="6">
        <f>HYPERLINK("https://map.naver.com/p/search/연동면 송용리 963-10", "지도Link")</f>
        <v/>
      </c>
      <c r="N1647" s="6">
        <f>HYPERLINK("http://www.eum.go.kr/web/ar/lu/luLandDet.jsp?pnu=3611032027109630010&amp;isNoScr=script&amp;mode=search",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3382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예양리 110-1</t>
        </is>
      </c>
      <c r="B1648" s="3" t="inlineStr">
        <is>
          <t>생산관리지역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50000</v>
      </c>
      <c r="G1648" s="4" t="n">
        <v>1914</v>
      </c>
      <c r="H1648" s="4" t="n">
        <v>579</v>
      </c>
      <c r="I1648" s="5" t="n">
        <v>86.40000000000001</v>
      </c>
      <c r="J1648" s="5" t="n">
        <v>35.1</v>
      </c>
      <c r="K1648" s="3" t="inlineStr">
        <is>
          <t>급매, 협의절충, 생산관리, 과수원, 입지, 주위 인프라 굿</t>
        </is>
      </c>
      <c r="L1648" s="6">
        <f>HYPERLINK("https://fin.land.naver.com/articles/2653154744", "매물Link")</f>
        <v/>
      </c>
      <c r="M1648" s="6">
        <f>HYPERLINK("https://map.naver.com/p/search/연동면 예양리 110-1", "지도Link")</f>
        <v/>
      </c>
      <c r="N1648" s="6">
        <f>HYPERLINK("http://www.eum.go.kr/web/ar/lu/luLandDet.jsp?pnu=3611032026101100001&amp;isNoScr=script&amp;mode=search", "토지이음")</f>
        <v/>
      </c>
      <c r="O1648" s="3" t="inlineStr">
        <is>
          <t>세종한울</t>
        </is>
      </c>
      <c r="P1648" s="4" t="n">
        <v>1</v>
      </c>
      <c r="Q1648" s="4" t="n">
        <v>1914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연동면 예양리 110-1</t>
        </is>
      </c>
      <c r="B1649" s="3" t="inlineStr">
        <is>
          <t>생산관리지역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52000</v>
      </c>
      <c r="G1649" s="4" t="n">
        <v>1914</v>
      </c>
      <c r="H1649" s="4" t="n">
        <v>579</v>
      </c>
      <c r="I1649" s="5" t="n">
        <v>89.8</v>
      </c>
      <c r="J1649" s="5" t="n">
        <v>35.1</v>
      </c>
      <c r="K1649" s="3" t="inlineStr">
        <is>
          <t>nan</t>
        </is>
      </c>
      <c r="L1649" s="6">
        <f>HYPERLINK("https://fin.land.naver.com/articles/2652244554", "매물Link")</f>
        <v/>
      </c>
      <c r="M1649" s="6">
        <f>HYPERLINK("https://map.naver.com/p/search/연동면 예양리 110-1", "지도Link")</f>
        <v/>
      </c>
      <c r="N1649" s="6">
        <f>HYPERLINK("http://www.eum.go.kr/web/ar/lu/luLandDet.jsp?pnu=3611032026101100001&amp;isNoScr=script&amp;mode=search",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1914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예양리 25-1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20000</v>
      </c>
      <c r="G1650" s="4" t="n">
        <v>248</v>
      </c>
      <c r="H1650" s="4" t="n">
        <v>75</v>
      </c>
      <c r="I1650" s="5" t="n">
        <v>266.7</v>
      </c>
      <c r="J1650" s="5" t="n">
        <v>66.59999999999999</v>
      </c>
      <c r="K1650" s="3" t="inlineStr">
        <is>
          <t>건축 및 투자</t>
        </is>
      </c>
      <c r="L1650" s="6">
        <f>HYPERLINK("https://fin.land.naver.com/articles/2653502018", "매물Link")</f>
        <v/>
      </c>
      <c r="M1650" s="6">
        <f>HYPERLINK("https://map.naver.com/p/search/연동면 예양리 25-1", "지도Link")</f>
        <v/>
      </c>
      <c r="N1650" s="6">
        <f>HYPERLINK("http://www.eum.go.kr/web/ar/lu/luLandDet.jsp?pnu=3611032026100250001&amp;isNoScr=script&amp;mode=search", "토지이음")</f>
        <v/>
      </c>
      <c r="O1650" s="3" t="inlineStr">
        <is>
          <t>한정호</t>
        </is>
      </c>
      <c r="P1650" s="4" t="n">
        <v>1</v>
      </c>
      <c r="Q1650" s="4" t="n">
        <v>248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연동면 예양리 47-1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19800</v>
      </c>
      <c r="G1651" s="4" t="n">
        <v>247</v>
      </c>
      <c r="H1651" s="4" t="n">
        <v>75</v>
      </c>
      <c r="I1651" s="5" t="n">
        <v>264</v>
      </c>
      <c r="J1651" s="5" t="n">
        <v>69.7</v>
      </c>
      <c r="K1651" s="3" t="inlineStr">
        <is>
          <t>건물 있는 토지 매매</t>
        </is>
      </c>
      <c r="L1651" s="6">
        <f>HYPERLINK("https://fin.land.naver.com/articles/2651254846", "매물Link")</f>
        <v/>
      </c>
      <c r="M1651" s="6">
        <f>HYPERLINK("https://map.naver.com/p/search/연동면 예양리 47-1", "지도Link")</f>
        <v/>
      </c>
      <c r="N1651" s="6">
        <f>HYPERLINK("http://www.eum.go.kr/web/ar/lu/luLandDet.jsp?pnu=3611032026100470001&amp;isNoScr=script&amp;mode=search", "토지이음")</f>
        <v/>
      </c>
      <c r="O1651" s="3" t="inlineStr">
        <is>
          <t>세종토박이</t>
        </is>
      </c>
      <c r="P1651" s="4" t="n">
        <v>2</v>
      </c>
      <c r="Q1651" s="4" t="n">
        <v>247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연동면 예양리 66-3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140000</v>
      </c>
      <c r="G1652" s="4" t="n">
        <v>2314</v>
      </c>
      <c r="H1652" s="4" t="n">
        <v>700</v>
      </c>
      <c r="I1652" s="5" t="n">
        <v>200</v>
      </c>
      <c r="J1652" s="5" t="n">
        <v>38.3</v>
      </c>
      <c r="K1652" s="3" t="inlineStr">
        <is>
          <t>도로접,땅모양좋습니다,조정가</t>
        </is>
      </c>
      <c r="L1652" s="6">
        <f>HYPERLINK("https://fin.land.naver.com/articles/2654054825", "매물Link")</f>
        <v/>
      </c>
      <c r="M1652" s="6">
        <f>HYPERLINK("https://map.naver.com/p/search/연동면 예양리 66-3", "지도Link")</f>
        <v/>
      </c>
      <c r="N1652" s="6">
        <f>HYPERLINK("http://www.eum.go.kr/web/ar/lu/luLandDet.jsp?pnu=3611032026100660003&amp;isNoScr=script&amp;mode=search", "토지이음")</f>
        <v/>
      </c>
      <c r="O1652" s="3" t="inlineStr">
        <is>
          <t>힐스테이트행복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824-1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60000</v>
      </c>
      <c r="G1653" s="4" t="n">
        <v>3457</v>
      </c>
      <c r="H1653" s="4" t="n">
        <v>1046</v>
      </c>
      <c r="I1653" s="5" t="n">
        <v>57.4</v>
      </c>
      <c r="J1653" s="5" t="n">
        <v>23.5</v>
      </c>
      <c r="K1653" s="3" t="inlineStr">
        <is>
          <t>농지 전</t>
        </is>
      </c>
      <c r="L1653" s="6">
        <f>HYPERLINK("https://fin.land.naver.com/articles/2653768190", "매물Link")</f>
        <v/>
      </c>
      <c r="M1653" s="6">
        <f>HYPERLINK("https://map.naver.com/p/search/연동면 예양리 824-1", "지도Link")</f>
        <v/>
      </c>
      <c r="N1653" s="6">
        <f>HYPERLINK("http://www.eum.go.kr/web/ar/lu/luLandDet.jsp?pnu=3611032026108240001&amp;isNoScr=script&amp;mode=search", "토지이음")</f>
        <v/>
      </c>
      <c r="O1653" s="3" t="inlineStr">
        <is>
          <t>대원</t>
        </is>
      </c>
      <c r="P1653" s="4" t="n">
        <v>1</v>
      </c>
      <c r="Q1653" s="4" t="n">
        <v>3457.7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연동면 예양리 828-1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2913</v>
      </c>
      <c r="H1654" s="4" t="n">
        <v>881</v>
      </c>
      <c r="I1654" s="5" t="n">
        <v>68.09999999999999</v>
      </c>
      <c r="J1654" s="5" t="n">
        <v>23.8</v>
      </c>
      <c r="K1654" s="3" t="inlineStr">
        <is>
          <t>대토용,투자적합</t>
        </is>
      </c>
      <c r="L1654" s="6">
        <f>HYPERLINK("https://fin.land.naver.com/articles/2653703739", "매물Link")</f>
        <v/>
      </c>
      <c r="M1654" s="6">
        <f>HYPERLINK("https://map.naver.com/p/search/연동면 예양리 828-1", "지도Link")</f>
        <v/>
      </c>
      <c r="N1654" s="6">
        <f>HYPERLINK("http://www.eum.go.kr/web/ar/lu/luLandDet.jsp?pnu=3611032026108280001&amp;isNoScr=script&amp;mode=search", "토지이음")</f>
        <v/>
      </c>
      <c r="O1654" s="3" t="inlineStr">
        <is>
          <t>지원</t>
        </is>
      </c>
      <c r="P1654" s="4" t="n">
        <v>1</v>
      </c>
      <c r="Q1654" s="4" t="n">
        <v>2913.3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세로각지(가)</t>
        </is>
      </c>
    </row>
    <row r="1655">
      <c r="A1655" s="3" t="inlineStr">
        <is>
          <t>연동면 예양리 831-13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53500</v>
      </c>
      <c r="G1655" s="4" t="n">
        <v>2212</v>
      </c>
      <c r="H1655" s="4" t="n">
        <v>669</v>
      </c>
      <c r="I1655" s="5" t="n">
        <v>80</v>
      </c>
      <c r="J1655" s="5" t="n">
        <v>24.3</v>
      </c>
      <c r="K1655" s="3" t="inlineStr">
        <is>
          <t>가격절충가능</t>
        </is>
      </c>
      <c r="L1655" s="6">
        <f>HYPERLINK("https://fin.land.naver.com/articles/2652723910", "매물Link")</f>
        <v/>
      </c>
      <c r="M1655" s="6">
        <f>HYPERLINK("https://map.naver.com/p/search/연동면 예양리 831-13", "지도Link")</f>
        <v/>
      </c>
      <c r="N1655" s="6">
        <f>HYPERLINK("http://www.eum.go.kr/web/ar/lu/luLandDet.jsp?pnu=3611032026108310013&amp;isNoScr=script&amp;mode=search", "토지이음")</f>
        <v/>
      </c>
      <c r="O1655" s="3" t="inlineStr">
        <is>
          <t>소사벌</t>
        </is>
      </c>
      <c r="P1655" s="4" t="n">
        <v>1</v>
      </c>
      <c r="Q1655" s="4" t="n">
        <v>2212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연동면 예양리 838-2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16400</v>
      </c>
      <c r="G1656" s="4" t="n">
        <v>665</v>
      </c>
      <c r="H1656" s="4" t="n">
        <v>201</v>
      </c>
      <c r="I1656" s="5" t="n">
        <v>81.59999999999999</v>
      </c>
      <c r="J1656" s="5" t="n">
        <v>24</v>
      </c>
      <c r="K1656" s="3" t="inlineStr">
        <is>
          <t>도로5m,3m접한 코너각지 직사각형,현재 전으로 이용중임.</t>
        </is>
      </c>
      <c r="L1656" s="6">
        <f>HYPERLINK("https://fin.land.naver.com/articles/2654365147", "매물Link")</f>
        <v/>
      </c>
      <c r="M1656" s="6">
        <f>HYPERLINK("https://map.naver.com/p/search/연동면 예양리 838-2", "지도Link")</f>
        <v/>
      </c>
      <c r="N1656" s="6">
        <f>HYPERLINK("http://www.eum.go.kr/web/ar/lu/luLandDet.jsp?pnu=3611032026108380002&amp;isNoScr=script&amp;mode=search", "토지이음")</f>
        <v/>
      </c>
      <c r="O1656" s="3" t="inlineStr">
        <is>
          <t>산울호박</t>
        </is>
      </c>
      <c r="P1656" s="4" t="n">
        <v>1</v>
      </c>
      <c r="Q1656" s="4" t="n">
        <v>665.6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세로한면(가)</t>
        </is>
      </c>
    </row>
    <row r="1657">
      <c r="A1657" s="3" t="inlineStr">
        <is>
          <t>연동면 예양리 99-5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52800</v>
      </c>
      <c r="G1657" s="4" t="n">
        <v>2384</v>
      </c>
      <c r="H1657" s="4" t="n">
        <v>721</v>
      </c>
      <c r="I1657" s="5" t="n">
        <v>73.2</v>
      </c>
      <c r="J1657" s="5" t="n">
        <v>32.9</v>
      </c>
      <c r="K1657" s="3" t="inlineStr">
        <is>
          <t>3m 도로접한 계획관리</t>
        </is>
      </c>
      <c r="L1657" s="6">
        <f>HYPERLINK("https://fin.land.naver.com/articles/2651242045", "매물Link")</f>
        <v/>
      </c>
      <c r="M1657" s="6">
        <f>HYPERLINK("https://map.naver.com/p/search/연동면 예양리 99-5", "지도Link")</f>
        <v/>
      </c>
      <c r="N1657" s="6">
        <f>HYPERLINK("http://www.eum.go.kr/web/ar/lu/luLandDet.jsp?pnu=3611032026100990005&amp;isNoScr=script&amp;mode=search", "토지이음")</f>
        <v/>
      </c>
      <c r="O1657" s="3" t="inlineStr">
        <is>
          <t>세종땅사랑</t>
        </is>
      </c>
      <c r="P1657" s="4" t="n">
        <v>1</v>
      </c>
      <c r="Q1657" s="4" t="n">
        <v>2384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행정중심복합도시 동측에 위치한 농지</t>
        </is>
      </c>
      <c r="L1658" s="6">
        <f>HYPERLINK("https://fin.land.naver.com/articles/2651237783",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세종토박이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1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602-3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27000</v>
      </c>
      <c r="G1672" s="4" t="n">
        <v>452</v>
      </c>
      <c r="H1672" s="4" t="n">
        <v>137</v>
      </c>
      <c r="I1672" s="5" t="n">
        <v>197.1</v>
      </c>
      <c r="J1672" s="5" t="n">
        <v>89.90000000000001</v>
      </c>
      <c r="K1672" s="3" t="inlineStr">
        <is>
          <t>nan</t>
        </is>
      </c>
      <c r="L1672" s="6">
        <f>HYPERLINK("https://fin.land.naver.com/articles/2651560789", "매물Link")</f>
        <v/>
      </c>
      <c r="M1672" s="6">
        <f>HYPERLINK("https://map.naver.com/p/search/연동면 응암리 602-3", "지도Link")</f>
        <v/>
      </c>
      <c r="N1672" s="6">
        <f>HYPERLINK("http://www.eum.go.kr/web/ar/lu/luLandDet.jsp?pnu=3611032024106020003&amp;isNoScr=script&amp;mode=search", "토지이음")</f>
        <v/>
      </c>
      <c r="O1672" s="3" t="inlineStr">
        <is>
          <t>부엉이</t>
        </is>
      </c>
      <c r="P1672" s="4" t="n">
        <v>1</v>
      </c>
      <c r="Q1672" s="4" t="n">
        <v>188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694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32000</v>
      </c>
      <c r="G1673" s="4" t="n">
        <v>1769</v>
      </c>
      <c r="H1673" s="4" t="n">
        <v>535</v>
      </c>
      <c r="I1673" s="5" t="n">
        <v>59.8</v>
      </c>
      <c r="J1673" s="5" t="n">
        <v>36.4</v>
      </c>
      <c r="K1673" s="3" t="inlineStr">
        <is>
          <t>연동면 응암리 계획관리지역</t>
        </is>
      </c>
      <c r="L1673" s="6">
        <f>HYPERLINK("https://fin.land.naver.com/articles/2655895889", "매물Link")</f>
        <v/>
      </c>
      <c r="M1673" s="6">
        <f>HYPERLINK("https://map.naver.com/p/search/연동면 응암리 694", "지도Link")</f>
        <v/>
      </c>
      <c r="N1673" s="6">
        <f>HYPERLINK("http://www.eum.go.kr/web/ar/lu/luLandDet.jsp?pnu=3611032024106940000&amp;isNoScr=script&amp;mode=search", "토지이음")</f>
        <v/>
      </c>
      <c r="O1673" s="3" t="inlineStr">
        <is>
          <t>KB세종</t>
        </is>
      </c>
      <c r="P1673" s="4" t="n">
        <v>1</v>
      </c>
      <c r="Q1673" s="4" t="n">
        <v>1769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완경사</t>
        </is>
      </c>
      <c r="U1673" s="3" t="inlineStr">
        <is>
          <t>부정형</t>
        </is>
      </c>
      <c r="V1673" s="3" t="inlineStr">
        <is>
          <t>세로한면(불)</t>
        </is>
      </c>
    </row>
    <row r="1674">
      <c r="A1674" s="3" t="inlineStr">
        <is>
          <t>연동면 응암리 738-8</t>
        </is>
      </c>
      <c r="B1674" s="3" t="inlineStr">
        <is>
          <t>계획관리지역</t>
        </is>
      </c>
      <c r="C1674" s="3" t="inlineStr">
        <is>
          <t>주유소용지</t>
        </is>
      </c>
      <c r="D1674" s="3" t="inlineStr">
        <is>
          <t>주유소용지</t>
        </is>
      </c>
      <c r="E1674" s="3" t="inlineStr">
        <is>
          <t>매매</t>
        </is>
      </c>
      <c r="F1674" s="4" t="n">
        <v>270000</v>
      </c>
      <c r="G1674" s="4" t="n">
        <v>1420</v>
      </c>
      <c r="H1674" s="4" t="n">
        <v>430</v>
      </c>
      <c r="I1674" s="5" t="n">
        <v>627.9</v>
      </c>
      <c r="J1674" s="5" t="n">
        <v>160</v>
      </c>
      <c r="K1674" s="3" t="inlineStr">
        <is>
          <t>행정중심복합도시 진입 방향 건축가능한 나대지</t>
        </is>
      </c>
      <c r="L1674" s="6">
        <f>HYPERLINK("https://fin.land.naver.com/articles/2654934396", "매물Link")</f>
        <v/>
      </c>
      <c r="M1674" s="6">
        <f>HYPERLINK("https://map.naver.com/p/search/연동면 응암리 738-8", "지도Link")</f>
        <v/>
      </c>
      <c r="N1674" s="6">
        <f>HYPERLINK("http://www.eum.go.kr/web/ar/lu/luLandDet.jsp?pnu=3611032024107380008&amp;isNoScr=script&amp;mode=search", "토지이음")</f>
        <v/>
      </c>
      <c r="O1674" s="3" t="inlineStr">
        <is>
          <t>남산제일</t>
        </is>
      </c>
      <c r="P1674" s="4" t="n">
        <v>1</v>
      </c>
      <c r="Q1674" s="4" t="n">
        <v>1420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749-2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147000</v>
      </c>
      <c r="G1675" s="4" t="n">
        <v>972</v>
      </c>
      <c r="H1675" s="4" t="n">
        <v>294</v>
      </c>
      <c r="I1675" s="5" t="n">
        <v>500</v>
      </c>
      <c r="J1675" s="5" t="n">
        <v>76.2</v>
      </c>
      <c r="K1675" s="3" t="inlineStr">
        <is>
          <t>2차선접,땅모양 굿</t>
        </is>
      </c>
      <c r="L1675" s="6">
        <f>HYPERLINK("https://fin.land.naver.com/articles/2655494628", "매물Link")</f>
        <v/>
      </c>
      <c r="M1675" s="6">
        <f>HYPERLINK("https://map.naver.com/p/search/연동면 응암리 749-2", "지도Link")</f>
        <v/>
      </c>
      <c r="N1675" s="6">
        <f>HYPERLINK("http://www.eum.go.kr/web/ar/lu/luLandDet.jsp?pnu=3611032024107490002&amp;isNoScr=script&amp;mode=search", "토지이음")</f>
        <v/>
      </c>
      <c r="O1675" s="3" t="inlineStr">
        <is>
          <t>힐스테이트행복</t>
        </is>
      </c>
      <c r="P1675" s="4" t="n">
        <v>1</v>
      </c>
      <c r="Q1675" s="4" t="n">
        <v>972</v>
      </c>
      <c r="R1675" s="3" t="inlineStr">
        <is>
          <t>지정되지않음</t>
        </is>
      </c>
      <c r="S1675" s="3" t="inlineStr">
        <is>
          <t>과수원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산28-9</t>
        </is>
      </c>
      <c r="B1676" s="3" t="inlineStr">
        <is>
          <t>계획관리지역</t>
        </is>
      </c>
      <c r="C1676" s="3" t="inlineStr">
        <is>
          <t>임야</t>
        </is>
      </c>
      <c r="D1676" s="3" t="inlineStr">
        <is>
          <t>임야</t>
        </is>
      </c>
      <c r="E1676" s="3" t="inlineStr">
        <is>
          <t>월세</t>
        </is>
      </c>
      <c r="F1676" s="4" t="n">
        <v>3000</v>
      </c>
      <c r="G1676" s="4" t="n">
        <v>8487</v>
      </c>
      <c r="H1676" s="4" t="n">
        <v>2567</v>
      </c>
      <c r="I1676" s="5" t="n">
        <v>0.4</v>
      </c>
      <c r="J1676" s="5" t="n">
        <v>16.9</v>
      </c>
      <c r="K1676" s="3" t="inlineStr">
        <is>
          <t>2차선도로 대형차량도 바로진입, 야적장 및 차고지등 추천</t>
        </is>
      </c>
      <c r="L1676" s="6">
        <f>HYPERLINK("https://fin.land.naver.com/articles/2652120642", "매물Link")</f>
        <v/>
      </c>
      <c r="M1676" s="6">
        <f>HYPERLINK("https://map.naver.com/p/search/연동면 응암리 산28-9", "지도Link")</f>
        <v/>
      </c>
      <c r="N1676" s="6">
        <f>HYPERLINK("http://www.eum.go.kr/web/ar/lu/luLandDet.jsp?pnu=3611032024200280009&amp;isNoScr=script&amp;mode=search", "토지이음")</f>
        <v/>
      </c>
      <c r="O1676" s="3" t="inlineStr">
        <is>
          <t>연동스카이</t>
        </is>
      </c>
      <c r="P1676" s="4" t="n">
        <v>1</v>
      </c>
      <c r="Q1676" s="4" t="n">
        <v>8487</v>
      </c>
      <c r="R1676" s="3" t="inlineStr">
        <is>
          <t>지정되지않음</t>
        </is>
      </c>
      <c r="S1676" s="3" t="inlineStr">
        <is>
          <t>자연림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소로한면</t>
        </is>
      </c>
    </row>
    <row r="1677">
      <c r="A1677" s="3" t="inlineStr">
        <is>
          <t>연동면 응암리 산42-6</t>
        </is>
      </c>
      <c r="B1677" s="3" t="inlineStr">
        <is>
          <t>계획관리지역</t>
        </is>
      </c>
      <c r="C1677" s="3" t="inlineStr">
        <is>
          <t>임야</t>
        </is>
      </c>
      <c r="D1677" s="3" t="inlineStr">
        <is>
          <t>임야</t>
        </is>
      </c>
      <c r="E1677" s="3" t="inlineStr">
        <is>
          <t>매매</t>
        </is>
      </c>
      <c r="F1677" s="4" t="n">
        <v>220000</v>
      </c>
      <c r="G1677" s="4" t="n">
        <v>5620</v>
      </c>
      <c r="H1677" s="4" t="n">
        <v>1700</v>
      </c>
      <c r="I1677" s="5" t="n">
        <v>129.4</v>
      </c>
      <c r="J1677" s="5" t="n">
        <v>13.1</v>
      </c>
      <c r="K1677" s="3" t="inlineStr">
        <is>
          <t>계획관리지역.4미터포장진입도로있음.물류창고용도활용가능.준보전산지.종중임야</t>
        </is>
      </c>
      <c r="L1677" s="6">
        <f>HYPERLINK("https://fin.land.naver.com/articles/2650950524", "매물Link")</f>
        <v/>
      </c>
      <c r="M1677" s="6">
        <f>HYPERLINK("https://map.naver.com/p/search/연동면 응암리 산42-6", "지도Link")</f>
        <v/>
      </c>
      <c r="N1677" s="6">
        <f>HYPERLINK("http://www.eum.go.kr/web/ar/lu/luLandDet.jsp?pnu=3611032024200420006&amp;isNoScr=script&amp;mode=search", "토지이음")</f>
        <v/>
      </c>
      <c r="O1677" s="3" t="inlineStr">
        <is>
          <t>돈방석</t>
        </is>
      </c>
      <c r="P1677" s="4" t="n">
        <v>1</v>
      </c>
      <c r="Q1677" s="4" t="n">
        <v>5620</v>
      </c>
      <c r="R1677" s="3" t="inlineStr">
        <is>
          <t>지정되지않음</t>
        </is>
      </c>
      <c r="S1677" s="3" t="inlineStr">
        <is>
          <t>자연림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세로한면(불)</t>
        </is>
      </c>
    </row>
    <row r="1678">
      <c r="A1678" s="3" t="inlineStr">
        <is>
          <t>연동면 합강리 485-10</t>
        </is>
      </c>
      <c r="B1678" s="3" t="inlineStr">
        <is>
          <t>보전관리지역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70000</v>
      </c>
      <c r="G1678" s="4" t="n">
        <v>655</v>
      </c>
      <c r="H1678" s="4" t="n">
        <v>198</v>
      </c>
      <c r="I1678" s="5" t="n">
        <v>353.5</v>
      </c>
      <c r="J1678" s="5" t="n">
        <v>165</v>
      </c>
      <c r="K1678" s="3" t="inlineStr">
        <is>
          <t>강이 보이는 남향의 최고의 전원주택 부지 급 매매</t>
        </is>
      </c>
      <c r="L1678" s="6">
        <f>HYPERLINK("https://fin.land.naver.com/articles/2656180037", "매물Link")</f>
        <v/>
      </c>
      <c r="M1678" s="6">
        <f>HYPERLINK("https://map.naver.com/p/search/연동면 합강리 485-10", "지도Link")</f>
        <v/>
      </c>
      <c r="N1678" s="6">
        <f>HYPERLINK("http://www.eum.go.kr/web/ar/lu/luLandDet.jsp?pnu=3611032028104850010&amp;isNoScr=script&amp;mode=search", "토지이음")</f>
        <v/>
      </c>
      <c r="O1678" s="3" t="inlineStr">
        <is>
          <t>대전토지로무소</t>
        </is>
      </c>
      <c r="P1678" s="4" t="n">
        <v>1</v>
      </c>
      <c r="Q1678" s="4" t="n">
        <v>414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완경사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연동면 합강리 485-10</t>
        </is>
      </c>
      <c r="B1679" s="3" t="inlineStr">
        <is>
          <t>보전관리지역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70000</v>
      </c>
      <c r="G1679" s="4" t="n">
        <v>655</v>
      </c>
      <c r="H1679" s="4" t="n">
        <v>198</v>
      </c>
      <c r="I1679" s="5" t="n">
        <v>353.5</v>
      </c>
      <c r="J1679" s="5" t="n">
        <v>165</v>
      </c>
      <c r="K1679" s="3" t="inlineStr">
        <is>
          <t>조율가능 남향 금강조망 전원주택지 급매</t>
        </is>
      </c>
      <c r="L1679" s="6">
        <f>HYPERLINK("https://fin.land.naver.com/articles/2654330711", "매물Link")</f>
        <v/>
      </c>
      <c r="M1679" s="6">
        <f>HYPERLINK("https://map.naver.com/p/search/연동면 합강리 485-10", "지도Link")</f>
        <v/>
      </c>
      <c r="N1679" s="6">
        <f>HYPERLINK("http://www.eum.go.kr/web/ar/lu/luLandDet.jsp?pnu=3611032028104850010&amp;isNoScr=script&amp;mode=search",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414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합강리 486-41</t>
        </is>
      </c>
      <c r="B1680" s="3" t="inlineStr">
        <is>
          <t>농림지역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73000</v>
      </c>
      <c r="G1680" s="4" t="n">
        <v>12036</v>
      </c>
      <c r="H1680" s="4" t="n">
        <v>3641</v>
      </c>
      <c r="I1680" s="5" t="n">
        <v>20</v>
      </c>
      <c r="J1680" s="5" t="n">
        <v>6</v>
      </c>
      <c r="K1680" s="3" t="inlineStr">
        <is>
          <t>조망이 좋고 투자가치가 높음, 인근에 비해 가격이 좋음</t>
        </is>
      </c>
      <c r="L1680" s="6">
        <f>HYPERLINK("https://fin.land.naver.com/articles/2654281254", "매물Link")</f>
        <v/>
      </c>
      <c r="M1680" s="6">
        <f>HYPERLINK("https://map.naver.com/p/search/연동면 합강리 486-41", "지도Link")</f>
        <v/>
      </c>
      <c r="N1680" s="6">
        <f>HYPERLINK("http://www.eum.go.kr/web/ar/lu/luLandDet.jsp?pnu=3611032028104860041&amp;isNoScr=script&amp;mode=search", "토지이음")</f>
        <v/>
      </c>
      <c r="O1680" s="3" t="inlineStr">
        <is>
          <t>새날</t>
        </is>
      </c>
      <c r="P1680" s="4" t="n">
        <v>1</v>
      </c>
      <c r="Q1680" s="4" t="n">
        <v>10686</v>
      </c>
      <c r="R1680" s="3" t="inlineStr">
        <is>
          <t>보전관리지역</t>
        </is>
      </c>
      <c r="S1680" s="3" t="inlineStr">
        <is>
          <t>자연림</t>
        </is>
      </c>
      <c r="T1680" s="3" t="inlineStr">
        <is>
          <t>급경사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합강리 486-41</t>
        </is>
      </c>
      <c r="B1681" s="3" t="inlineStr">
        <is>
          <t>농림지역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110000</v>
      </c>
      <c r="G1681" s="4" t="n">
        <v>12036</v>
      </c>
      <c r="H1681" s="4" t="n">
        <v>3641</v>
      </c>
      <c r="I1681" s="5" t="n">
        <v>30.2</v>
      </c>
      <c r="J1681" s="5" t="n">
        <v>6</v>
      </c>
      <c r="K1681" s="3" t="inlineStr">
        <is>
          <t>세종시 연동면 합강리 금강 인근 임야 매매</t>
        </is>
      </c>
      <c r="L1681" s="6">
        <f>HYPERLINK("https://fin.land.naver.com/articles/2653813136", "매물Link")</f>
        <v/>
      </c>
      <c r="M1681" s="6">
        <f>HYPERLINK("https://map.naver.com/p/search/연동면 합강리 486-41", "지도Link")</f>
        <v/>
      </c>
      <c r="N1681" s="6">
        <f>HYPERLINK("http://www.eum.go.kr/web/ar/lu/luLandDet.jsp?pnu=3611032028104860041&amp;isNoScr=script&amp;mode=search", "토지이음")</f>
        <v/>
      </c>
      <c r="O1681" s="3" t="inlineStr">
        <is>
          <t>뉴스카이</t>
        </is>
      </c>
      <c r="P1681" s="4" t="n">
        <v>1</v>
      </c>
      <c r="Q1681" s="4" t="n">
        <v>10686</v>
      </c>
      <c r="R1681" s="3" t="inlineStr">
        <is>
          <t>보전관리지역</t>
        </is>
      </c>
      <c r="S1681" s="3" t="inlineStr">
        <is>
          <t>자연림</t>
        </is>
      </c>
      <c r="T1681" s="3" t="inlineStr">
        <is>
          <t>급경사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연동면 합강리 490-14</t>
        </is>
      </c>
      <c r="B1682" s="3" t="inlineStr">
        <is>
          <t>보전관리지역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103000</v>
      </c>
      <c r="G1682" s="4" t="n">
        <v>682</v>
      </c>
      <c r="H1682" s="4" t="n">
        <v>206</v>
      </c>
      <c r="I1682" s="5" t="n">
        <v>500</v>
      </c>
      <c r="J1682" s="5" t="n">
        <v>165</v>
      </c>
      <c r="K1682" s="3" t="inlineStr">
        <is>
          <t>5생활권 인접한 세종의 꽃 합강리 무릉도원 배산임수 명당</t>
        </is>
      </c>
      <c r="L1682" s="6">
        <f>HYPERLINK("https://fin.land.naver.com/articles/2651745407", "매물Link")</f>
        <v/>
      </c>
      <c r="M1682" s="6">
        <f>HYPERLINK("https://map.naver.com/p/search/연동면 합강리 490-14", "지도Link")</f>
        <v/>
      </c>
      <c r="N1682" s="6">
        <f>HYPERLINK("http://www.eum.go.kr/web/ar/lu/luLandDet.jsp?pnu=3611032028104900014&amp;isNoScr=script&amp;mode=search", "토지이음")</f>
        <v/>
      </c>
      <c r="O1682" s="3" t="inlineStr">
        <is>
          <t>세종복댕이</t>
        </is>
      </c>
      <c r="P1682" s="4" t="n">
        <v>1</v>
      </c>
      <c r="Q1682" s="4" t="n">
        <v>682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완경사</t>
        </is>
      </c>
      <c r="U1682" s="3" t="inlineStr">
        <is>
          <t>가로장방</t>
        </is>
      </c>
      <c r="V1682" s="3" t="inlineStr">
        <is>
          <t>세로한면(가)</t>
        </is>
      </c>
    </row>
    <row r="1683">
      <c r="A1683" s="3" t="inlineStr">
        <is>
          <t>연동면 합강리 492-4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770000</v>
      </c>
      <c r="G1683" s="4" t="n">
        <v>2308</v>
      </c>
      <c r="H1683" s="4" t="n">
        <v>698</v>
      </c>
      <c r="I1683" s="5" t="n">
        <v>1103.2</v>
      </c>
      <c r="J1683" s="5" t="n">
        <v>107.6</v>
      </c>
      <c r="K1683" s="3" t="inlineStr">
        <is>
          <t>카페입지, 좋은 위치, 상수도 전기설비완료, 농막 시설물포함, 가격절충</t>
        </is>
      </c>
      <c r="L1683" s="6">
        <f>HYPERLINK("https://fin.land.naver.com/articles/2655519734", "매물Link")</f>
        <v/>
      </c>
      <c r="M1683" s="6">
        <f>HYPERLINK("https://map.naver.com/p/search/연동면 합강리 492-4", "지도Link")</f>
        <v/>
      </c>
      <c r="N1683" s="6">
        <f>HYPERLINK("http://www.eum.go.kr/web/ar/lu/luLandDet.jsp?pnu=3611032028104920004&amp;isNoScr=script&amp;mode=search", "토지이음")</f>
        <v/>
      </c>
      <c r="O1683" s="3" t="inlineStr">
        <is>
          <t>황금힐스테이트</t>
        </is>
      </c>
      <c r="P1683" s="4" t="n">
        <v>1</v>
      </c>
      <c r="Q1683" s="4" t="n">
        <v>2308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연동면 합강리 500-24</t>
        </is>
      </c>
      <c r="B1684" s="3" t="inlineStr">
        <is>
          <t>보전관리지역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98000</v>
      </c>
      <c r="G1684" s="4" t="n">
        <v>647</v>
      </c>
      <c r="H1684" s="4" t="n">
        <v>196</v>
      </c>
      <c r="I1684" s="5" t="n">
        <v>500</v>
      </c>
      <c r="J1684" s="5" t="n">
        <v>158.2</v>
      </c>
      <c r="K1684" s="3" t="inlineStr">
        <is>
          <t>전망 좋은 주택지</t>
        </is>
      </c>
      <c r="L1684" s="6">
        <f>HYPERLINK("https://fin.land.naver.com/articles/2652793860", "매물Link")</f>
        <v/>
      </c>
      <c r="M1684" s="6">
        <f>HYPERLINK("https://map.naver.com/p/search/연동면 합강리 500-24", "지도Link")</f>
        <v/>
      </c>
      <c r="N1684" s="6">
        <f>HYPERLINK("http://www.eum.go.kr/web/ar/lu/luLandDet.jsp?pnu=3611032028105000024&amp;isNoScr=script&amp;mode=search",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647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고복리 112-1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37500</v>
      </c>
      <c r="G1685" s="4" t="n">
        <v>946</v>
      </c>
      <c r="H1685" s="4" t="n">
        <v>286</v>
      </c>
      <c r="I1685" s="5" t="n">
        <v>131.1</v>
      </c>
      <c r="J1685" s="5" t="n">
        <v>66</v>
      </c>
      <c r="K1685" s="3" t="inlineStr">
        <is>
          <t>고복리 계획관리지역 대와 전으로 시세보다 저렴한 2필지 일괄매매.</t>
        </is>
      </c>
      <c r="L1685" s="6">
        <f>HYPERLINK("https://fin.land.naver.com/articles/2653550278", "매물Link")</f>
        <v/>
      </c>
      <c r="M1685" s="6">
        <f>HYPERLINK("https://map.naver.com/p/search/연서면 고복리 112-1", "지도Link")</f>
        <v/>
      </c>
      <c r="N1685" s="6">
        <f>HYPERLINK("http://www.eum.go.kr/web/ar/lu/luLandDet.jsp?pnu=3611036024101120001&amp;isNoScr=script&amp;mode=search",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377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맹지</t>
        </is>
      </c>
    </row>
    <row r="1686">
      <c r="A1686" s="3" t="inlineStr">
        <is>
          <t>연서면 고복리 112-1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37000</v>
      </c>
      <c r="G1686" s="4" t="n">
        <v>946</v>
      </c>
      <c r="H1686" s="4" t="n">
        <v>286</v>
      </c>
      <c r="I1686" s="5" t="n">
        <v>129.4</v>
      </c>
      <c r="J1686" s="5" t="n">
        <v>66</v>
      </c>
      <c r="K1686" s="3" t="inlineStr">
        <is>
          <t>고복리 계획관리지역 매매,  2차선 도로 150m  위치 좋은 토지</t>
        </is>
      </c>
      <c r="L1686" s="6">
        <f>HYPERLINK("https://fin.land.naver.com/articles/2653959002", "매물Link")</f>
        <v/>
      </c>
      <c r="M1686" s="6">
        <f>HYPERLINK("https://map.naver.com/p/search/연서면 고복리 112-1", "지도Link")</f>
        <v/>
      </c>
      <c r="N1686" s="6">
        <f>HYPERLINK("http://www.eum.go.kr/web/ar/lu/luLandDet.jsp?pnu=3611036024101120001&amp;isNoScr=script&amp;mode=search", "토지이음")</f>
        <v/>
      </c>
      <c r="O1686" s="3" t="inlineStr">
        <is>
          <t>세종땅사랑</t>
        </is>
      </c>
      <c r="P1686" s="4" t="n">
        <v>1</v>
      </c>
      <c r="Q1686" s="4" t="n">
        <v>377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맹지</t>
        </is>
      </c>
    </row>
    <row r="1687">
      <c r="A1687" s="3" t="inlineStr">
        <is>
          <t>연서면 고복리 174-1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8370</v>
      </c>
      <c r="G1687" s="4" t="n">
        <v>615</v>
      </c>
      <c r="H1687" s="4" t="n">
        <v>186</v>
      </c>
      <c r="I1687" s="5" t="n">
        <v>45</v>
      </c>
      <c r="J1687" s="5" t="n">
        <v>23.4</v>
      </c>
      <c r="K1687" s="3" t="inlineStr">
        <is>
          <t>소액추천매물,주말농장겸 투자용으로 미래가치 까지 가져가세요</t>
        </is>
      </c>
      <c r="L1687" s="6">
        <f>HYPERLINK("https://fin.land.naver.com/articles/2653031640", "매물Link")</f>
        <v/>
      </c>
      <c r="M1687" s="6">
        <f>HYPERLINK("https://map.naver.com/p/search/연서면 고복리 174-1", "지도Link")</f>
        <v/>
      </c>
      <c r="N1687" s="6">
        <f>HYPERLINK("http://www.eum.go.kr/web/ar/lu/luLandDet.jsp?pnu=3611036024101740001&amp;isNoScr=script&amp;mode=search", "토지이음")</f>
        <v/>
      </c>
      <c r="O1687" s="3" t="inlineStr">
        <is>
          <t>가치잇는</t>
        </is>
      </c>
      <c r="P1687" s="4" t="n">
        <v>1</v>
      </c>
      <c r="Q1687" s="4" t="n">
        <v>615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완경사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186-1</t>
        </is>
      </c>
      <c r="B1688" s="3" t="inlineStr">
        <is>
          <t>생산관리지역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29000</v>
      </c>
      <c r="G1688" s="4" t="n">
        <v>1964</v>
      </c>
      <c r="H1688" s="4" t="n">
        <v>594</v>
      </c>
      <c r="I1688" s="5" t="n">
        <v>48.8</v>
      </c>
      <c r="J1688" s="5" t="n">
        <v>22.6</v>
      </c>
      <c r="K1688" s="3" t="inlineStr">
        <is>
          <t>고복저수지 근방 대토또는 과수원으로 경작 추천 ,2필지 일괄매매</t>
        </is>
      </c>
      <c r="L1688" s="6">
        <f>HYPERLINK("https://fin.land.naver.com/articles/2653426450", "매물Link")</f>
        <v/>
      </c>
      <c r="M1688" s="6">
        <f>HYPERLINK("https://map.naver.com/p/search/연서면 고복리 186-1", "지도Link")</f>
        <v/>
      </c>
      <c r="N1688" s="6">
        <f>HYPERLINK("http://www.eum.go.kr/web/ar/lu/luLandDet.jsp?pnu=3611036024101860001&amp;isNoScr=script&amp;mode=search",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582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연서면 고복리 221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521</v>
      </c>
      <c r="H1689" s="4" t="n">
        <v>158</v>
      </c>
      <c r="I1689" s="5" t="n">
        <v>126.6</v>
      </c>
      <c r="J1689" s="5" t="n">
        <v>66.7</v>
      </c>
      <c r="K1689" s="3" t="inlineStr">
        <is>
          <t>nan</t>
        </is>
      </c>
      <c r="L1689" s="6">
        <f>HYPERLINK("https://fin.land.naver.com/articles/2650838247", "매물Link")</f>
        <v/>
      </c>
      <c r="M1689" s="6">
        <f>HYPERLINK("https://map.naver.com/p/search/연서면 고복리 221", "지도Link")</f>
        <v/>
      </c>
      <c r="N1689" s="6">
        <f>HYPERLINK("http://www.eum.go.kr/web/ar/lu/luLandDet.jsp?pnu=3611036024102210000&amp;isNoScr=script&amp;mode=search", "토지이음")</f>
        <v/>
      </c>
      <c r="O1689" s="3" t="inlineStr">
        <is>
          <t>세종금밭</t>
        </is>
      </c>
      <c r="P1689" s="4" t="n">
        <v>1</v>
      </c>
      <c r="Q1689" s="4" t="n">
        <v>521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세로한면(불)</t>
        </is>
      </c>
    </row>
    <row r="1690">
      <c r="A1690" s="3" t="inlineStr">
        <is>
          <t>연서면 고복리 221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20000</v>
      </c>
      <c r="G1690" s="4" t="n">
        <v>521</v>
      </c>
      <c r="H1690" s="4" t="n">
        <v>158</v>
      </c>
      <c r="I1690" s="5" t="n">
        <v>126.6</v>
      </c>
      <c r="J1690" s="5" t="n">
        <v>66.7</v>
      </c>
      <c r="K1690" s="3" t="inlineStr">
        <is>
          <t>o토지급매o 고복리 계획관리지역으로 주택과 창고 있는 저렴한 토지</t>
        </is>
      </c>
      <c r="L1690" s="6">
        <f>HYPERLINK("https://fin.land.naver.com/articles/2656145124", "매물Link")</f>
        <v/>
      </c>
      <c r="M1690" s="6">
        <f>HYPERLINK("https://map.naver.com/p/search/연서면 고복리 221", "지도Link")</f>
        <v/>
      </c>
      <c r="N1690" s="6">
        <f>HYPERLINK("http://www.eum.go.kr/web/ar/lu/luLandDet.jsp?pnu=3611036024102210000&amp;isNoScr=script&amp;mode=search", "토지이음")</f>
        <v/>
      </c>
      <c r="O1690" s="3" t="inlineStr">
        <is>
          <t>은주</t>
        </is>
      </c>
      <c r="P1690" s="4" t="n">
        <v>1</v>
      </c>
      <c r="Q1690" s="4" t="n">
        <v>521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연서면 고복리 291-3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97000</v>
      </c>
      <c r="G1691" s="4" t="n">
        <v>4599</v>
      </c>
      <c r="H1691" s="4" t="n">
        <v>1391</v>
      </c>
      <c r="I1691" s="5" t="n">
        <v>69.7</v>
      </c>
      <c r="J1691" s="5" t="n">
        <v>50.5</v>
      </c>
      <c r="K1691" s="3" t="inlineStr">
        <is>
          <t>고복리 계획관리와 생산관리지역으로 지목이 대,과수원,창고시설 일괄급매.</t>
        </is>
      </c>
      <c r="L1691" s="6">
        <f>HYPERLINK("https://fin.land.naver.com/articles/2651207214", "매물Link")</f>
        <v/>
      </c>
      <c r="M1691" s="6">
        <f>HYPERLINK("https://map.naver.com/p/search/연서면 고복리 291-3", "지도Link")</f>
        <v/>
      </c>
      <c r="N1691" s="6">
        <f>HYPERLINK("http://www.eum.go.kr/web/ar/lu/luLandDet.jsp?pnu=3611036024102910003&amp;isNoScr=script&amp;mode=search", "토지이음")</f>
        <v/>
      </c>
      <c r="O1691" s="3" t="inlineStr">
        <is>
          <t>세종대장</t>
        </is>
      </c>
      <c r="P1691" s="4" t="n">
        <v>1</v>
      </c>
      <c r="Q1691" s="4" t="n">
        <v>863</v>
      </c>
      <c r="R1691" s="3" t="inlineStr">
        <is>
          <t>생산관리지역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고복리 294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80000</v>
      </c>
      <c r="G1692" s="4" t="n">
        <v>2922</v>
      </c>
      <c r="H1692" s="4" t="n">
        <v>884</v>
      </c>
      <c r="I1692" s="5" t="n">
        <v>90.5</v>
      </c>
      <c r="J1692" s="5" t="n">
        <v>32.5</v>
      </c>
      <c r="K1692" s="3" t="inlineStr">
        <is>
          <t>급매, 연서면 고복리 마을포장도로에 접한 생산관리지역 과수원을 급매합니다</t>
        </is>
      </c>
      <c r="L1692" s="6">
        <f>HYPERLINK("https://fin.land.naver.com/articles/2652998310", "매물Link")</f>
        <v/>
      </c>
      <c r="M1692" s="6">
        <f>HYPERLINK("https://map.naver.com/p/search/연서면 고복리 294", "지도Link")</f>
        <v/>
      </c>
      <c r="N1692" s="6">
        <f>HYPERLINK("http://www.eum.go.kr/web/ar/lu/luLandDet.jsp?pnu=3611036024102940000&amp;isNoScr=script&amp;mode=search",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2922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고복리 395</t>
        </is>
      </c>
      <c r="B1693" s="3" t="inlineStr">
        <is>
          <t>보전관리지역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60000</v>
      </c>
      <c r="G1693" s="4" t="n">
        <v>3587</v>
      </c>
      <c r="H1693" s="4" t="n">
        <v>1085</v>
      </c>
      <c r="I1693" s="5" t="n">
        <v>55.3</v>
      </c>
      <c r="J1693" s="5" t="n">
        <v>21.6</v>
      </c>
      <c r="K1693" s="3" t="inlineStr">
        <is>
          <t>고복저수지 인근 투자용도로 추천  가격 조율 가능</t>
        </is>
      </c>
      <c r="L1693" s="6">
        <f>HYPERLINK("https://fin.land.naver.com/articles/2655115522", "매물Link")</f>
        <v/>
      </c>
      <c r="M1693" s="6">
        <f>HYPERLINK("https://map.naver.com/p/search/연서면 고복리 395", "지도Link")</f>
        <v/>
      </c>
      <c r="N1693" s="6">
        <f>HYPERLINK("http://www.eum.go.kr/web/ar/lu/luLandDet.jsp?pnu=3611036024103950000&amp;isNoScr=script&amp;mode=search", "토지이음")</f>
        <v/>
      </c>
      <c r="O1693" s="3" t="inlineStr">
        <is>
          <t>뉴엘리트탑</t>
        </is>
      </c>
      <c r="P1693" s="4" t="n">
        <v>1</v>
      </c>
      <c r="Q1693" s="4" t="n">
        <v>3587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연서면 고복리 415-34</t>
        </is>
      </c>
      <c r="B1694" s="3" t="inlineStr">
        <is>
          <t>보전관리지역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54000</v>
      </c>
      <c r="G1694" s="4" t="n">
        <v>725</v>
      </c>
      <c r="H1694" s="4" t="n">
        <v>219</v>
      </c>
      <c r="I1694" s="5" t="n">
        <v>246.6</v>
      </c>
      <c r="J1694" s="5" t="n">
        <v>122.9</v>
      </c>
      <c r="K1694" s="3" t="inlineStr">
        <is>
          <t>고복저수지 뷰 좋아요</t>
        </is>
      </c>
      <c r="L1694" s="6">
        <f>HYPERLINK("https://fin.land.naver.com/articles/2655169396", "매물Link")</f>
        <v/>
      </c>
      <c r="M1694" s="6">
        <f>HYPERLINK("https://map.naver.com/p/search/연서면 고복리 415-34", "지도Link")</f>
        <v/>
      </c>
      <c r="N1694" s="6">
        <f>HYPERLINK("http://www.eum.go.kr/web/ar/lu/luLandDet.jsp?pnu=3611036024104150034&amp;isNoScr=script&amp;mode=search", "토지이음")</f>
        <v/>
      </c>
      <c r="O1694" s="3" t="inlineStr">
        <is>
          <t>세종대박</t>
        </is>
      </c>
      <c r="P1694" s="4" t="n">
        <v>1</v>
      </c>
      <c r="Q1694" s="4" t="n">
        <v>725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완경사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415-54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404000</v>
      </c>
      <c r="G1695" s="4" t="n">
        <v>3904</v>
      </c>
      <c r="H1695" s="4" t="n">
        <v>1181</v>
      </c>
      <c r="I1695" s="5" t="n">
        <v>342.1</v>
      </c>
      <c r="J1695" s="5" t="n">
        <v>116.1</v>
      </c>
      <c r="K1695" s="3" t="inlineStr">
        <is>
          <t>고복저수지 바로 인접한 토지매매 넓은 면적에 탁트인 전망 매매가격 조절가</t>
        </is>
      </c>
      <c r="L1695" s="6">
        <f>HYPERLINK("https://fin.land.naver.com/articles/2653534610", "매물Link")</f>
        <v/>
      </c>
      <c r="M1695" s="6">
        <f>HYPERLINK("https://map.naver.com/p/search/연서면 고복리 415-54", "지도Link")</f>
        <v/>
      </c>
      <c r="N1695" s="6">
        <f>HYPERLINK("http://www.eum.go.kr/web/ar/lu/luLandDet.jsp?pnu=3611036024104150054&amp;isNoScr=script&amp;mode=search", "토지이음")</f>
        <v/>
      </c>
      <c r="O1695" s="3" t="inlineStr">
        <is>
          <t>효성해링턴오복</t>
        </is>
      </c>
      <c r="P1695" s="4" t="n">
        <v>1</v>
      </c>
      <c r="Q1695" s="4" t="n">
        <v>599</v>
      </c>
      <c r="R1695" s="3" t="inlineStr">
        <is>
          <t>지정되지않음</t>
        </is>
      </c>
      <c r="S1695" s="3" t="inlineStr">
        <is>
          <t>주거기타</t>
        </is>
      </c>
      <c r="T1695" s="3" t="inlineStr">
        <is>
          <t>완경사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연서면 고복리 415-8</t>
        </is>
      </c>
      <c r="B1696" s="3" t="inlineStr">
        <is>
          <t>보전관리지역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125000</v>
      </c>
      <c r="G1696" s="4" t="n">
        <v>1652</v>
      </c>
      <c r="H1696" s="4" t="n">
        <v>500</v>
      </c>
      <c r="I1696" s="5" t="n">
        <v>250</v>
      </c>
      <c r="J1696" s="5" t="n">
        <v>104.5</v>
      </c>
      <c r="K1696" s="3" t="inlineStr">
        <is>
          <t>도로접함. 고복저수지가 보이는 토지, 창고부지,근생용지,전원주택지로 추천</t>
        </is>
      </c>
      <c r="L1696" s="6">
        <f>HYPERLINK("https://fin.land.naver.com/articles/2655980449", "매물Link")</f>
        <v/>
      </c>
      <c r="M1696" s="6">
        <f>HYPERLINK("https://map.naver.com/p/search/연서면 고복리 415-8", "지도Link")</f>
        <v/>
      </c>
      <c r="N1696" s="6">
        <f>HYPERLINK("http://www.eum.go.kr/web/ar/lu/luLandDet.jsp?pnu=3611036024104150008&amp;isNoScr=script&amp;mode=search",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489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완경사</t>
        </is>
      </c>
      <c r="U1696" s="3" t="inlineStr">
        <is>
          <t>자루형</t>
        </is>
      </c>
      <c r="V1696" s="3" t="inlineStr">
        <is>
          <t>세로한면(불)</t>
        </is>
      </c>
    </row>
    <row r="1697">
      <c r="A1697" s="3" t="inlineStr">
        <is>
          <t>연서면 고복리 42-7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53340</v>
      </c>
      <c r="G1697" s="4" t="n">
        <v>2940</v>
      </c>
      <c r="H1697" s="4" t="n">
        <v>889</v>
      </c>
      <c r="I1697" s="5" t="n">
        <v>60</v>
      </c>
      <c r="J1697" s="5" t="n">
        <v>21.1</v>
      </c>
      <c r="K1697" s="3" t="inlineStr">
        <is>
          <t>nan</t>
        </is>
      </c>
      <c r="L1697" s="6">
        <f>HYPERLINK("https://fin.land.naver.com/articles/2654680424", "매물Link")</f>
        <v/>
      </c>
      <c r="M1697" s="6">
        <f>HYPERLINK("https://map.naver.com/p/search/연서면 고복리 42-7", "지도Link")</f>
        <v/>
      </c>
      <c r="N1697" s="6">
        <f>HYPERLINK("http://www.eum.go.kr/web/ar/lu/luLandDet.jsp?pnu=3611036024100420007&amp;isNoScr=script&amp;mode=search", "토지이음")</f>
        <v/>
      </c>
      <c r="O1697" s="3" t="inlineStr">
        <is>
          <t>푸른들</t>
        </is>
      </c>
      <c r="P1697" s="4" t="n">
        <v>1</v>
      </c>
      <c r="Q1697" s="4" t="n">
        <v>2940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연서면 고복리 45-4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70800</v>
      </c>
      <c r="G1698" s="4" t="n">
        <v>3900</v>
      </c>
      <c r="H1698" s="4" t="n">
        <v>1180</v>
      </c>
      <c r="I1698" s="5" t="n">
        <v>60</v>
      </c>
      <c r="J1698" s="5" t="n">
        <v>21.1</v>
      </c>
      <c r="K1698" s="3" t="inlineStr">
        <is>
          <t>절충가능한 연서면 고복리 농림지역 대토용 토지를 급매합니다</t>
        </is>
      </c>
      <c r="L1698" s="6">
        <f>HYPERLINK("https://fin.land.naver.com/articles/2651243984", "매물Link")</f>
        <v/>
      </c>
      <c r="M1698" s="6">
        <f>HYPERLINK("https://map.naver.com/p/search/연서면 고복리 45-4", "지도Link")</f>
        <v/>
      </c>
      <c r="N1698" s="6">
        <f>HYPERLINK("http://www.eum.go.kr/web/ar/lu/luLandDet.jsp?pnu=3611036024100450004&amp;isNoScr=script&amp;mode=search",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2900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세로한면(가)</t>
        </is>
      </c>
    </row>
    <row r="1699">
      <c r="A1699" s="3" t="inlineStr">
        <is>
          <t>연서면 고복리 456-1</t>
        </is>
      </c>
      <c r="B1699" s="3" t="inlineStr">
        <is>
          <t>자연환경보전지역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월세</t>
        </is>
      </c>
      <c r="F1699" s="4" t="n">
        <v>3000</v>
      </c>
      <c r="G1699" s="4" t="n">
        <v>506</v>
      </c>
      <c r="H1699" s="4" t="n">
        <v>153</v>
      </c>
      <c r="I1699" s="5" t="n">
        <v>0.3</v>
      </c>
      <c r="J1699" s="5" t="n">
        <v>92.3</v>
      </c>
      <c r="K1699" s="3" t="inlineStr">
        <is>
          <t>고복저수지인근의 자연속 바베큐공간임대, 바로사업가능해요.</t>
        </is>
      </c>
      <c r="L1699" s="6">
        <f>HYPERLINK("https://fin.land.naver.com/articles/2654916921", "매물Link")</f>
        <v/>
      </c>
      <c r="M1699" s="6">
        <f>HYPERLINK("https://map.naver.com/p/search/연서면 고복리 456-1", "지도Link")</f>
        <v/>
      </c>
      <c r="N1699" s="6">
        <f>HYPERLINK("http://www.eum.go.kr/web/ar/lu/luLandDet.jsp?pnu=3611036024104560001&amp;isNoScr=script&amp;mode=search", "토지이음")</f>
        <v/>
      </c>
      <c r="O1699" s="3" t="inlineStr">
        <is>
          <t>세종복댕이</t>
        </is>
      </c>
      <c r="P1699" s="4" t="n">
        <v>1</v>
      </c>
      <c r="Q1699" s="4" t="n">
        <v>506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고복리 46-5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79000</v>
      </c>
      <c r="G1700" s="4" t="n">
        <v>2980</v>
      </c>
      <c r="H1700" s="4" t="n">
        <v>901</v>
      </c>
      <c r="I1700" s="5" t="n">
        <v>87.7</v>
      </c>
      <c r="J1700" s="5" t="n">
        <v>21.1</v>
      </c>
      <c r="K1700" s="3" t="inlineStr">
        <is>
          <t>nan</t>
        </is>
      </c>
      <c r="L1700" s="6">
        <f>HYPERLINK("https://fin.land.naver.com/articles/2651972162", "매물Link")</f>
        <v/>
      </c>
      <c r="M1700" s="6">
        <f>HYPERLINK("https://map.naver.com/p/search/연서면 고복리 46-5", "지도Link")</f>
        <v/>
      </c>
      <c r="N1700" s="6">
        <f>HYPERLINK("http://www.eum.go.kr/web/ar/lu/luLandDet.jsp?pnu=3611036024100460005&amp;isNoScr=script&amp;mode=search", "토지이음")</f>
        <v/>
      </c>
      <c r="O1700" s="3" t="inlineStr">
        <is>
          <t>행운IPARK</t>
        </is>
      </c>
      <c r="P1700" s="4" t="n">
        <v>1</v>
      </c>
      <c r="Q1700" s="4" t="n">
        <v>2980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469-2</t>
        </is>
      </c>
      <c r="B1701" s="3" t="inlineStr">
        <is>
          <t>자연환경보전지역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120000</v>
      </c>
      <c r="G1701" s="4" t="n">
        <v>718</v>
      </c>
      <c r="H1701" s="4" t="n">
        <v>217</v>
      </c>
      <c r="I1701" s="5" t="n">
        <v>553</v>
      </c>
      <c r="J1701" s="5" t="n">
        <v>67.8</v>
      </c>
      <c r="K1701" s="3" t="inlineStr">
        <is>
          <t>고복저수지 책 박물관 옆</t>
        </is>
      </c>
      <c r="L1701" s="6">
        <f>HYPERLINK("https://fin.land.naver.com/articles/2652702587", "매물Link")</f>
        <v/>
      </c>
      <c r="M1701" s="6">
        <f>HYPERLINK("https://map.naver.com/p/search/연서면 고복리 469-2", "지도Link")</f>
        <v/>
      </c>
      <c r="N1701" s="6">
        <f>HYPERLINK("http://www.eum.go.kr/web/ar/lu/luLandDet.jsp?pnu=3611036024104690002&amp;isNoScr=script&amp;mode=search", "토지이음")</f>
        <v/>
      </c>
      <c r="O1701" s="3" t="inlineStr">
        <is>
          <t>새땅</t>
        </is>
      </c>
      <c r="P1701" s="4" t="n">
        <v>1</v>
      </c>
      <c r="Q1701" s="4" t="n">
        <v>390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세로한면(불)</t>
        </is>
      </c>
    </row>
    <row r="1702">
      <c r="A1702" s="3" t="inlineStr">
        <is>
          <t>연서면 고복리 548-16</t>
        </is>
      </c>
      <c r="B1702" s="3" t="inlineStr">
        <is>
          <t>보전관리지역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37000</v>
      </c>
      <c r="G1702" s="4" t="n">
        <v>425</v>
      </c>
      <c r="H1702" s="4" t="n">
        <v>129</v>
      </c>
      <c r="I1702" s="5" t="n">
        <v>286.8</v>
      </c>
      <c r="J1702" s="5" t="n">
        <v>46.8</v>
      </c>
      <c r="K1702" s="3" t="inlineStr">
        <is>
          <t>nan</t>
        </is>
      </c>
      <c r="L1702" s="6">
        <f>HYPERLINK("https://fin.land.naver.com/articles/2653834732", "매물Link")</f>
        <v/>
      </c>
      <c r="M1702" s="6">
        <f>HYPERLINK("https://map.naver.com/p/search/연서면 고복리 548-16", "지도Link")</f>
        <v/>
      </c>
      <c r="N1702" s="6">
        <f>HYPERLINK("http://www.eum.go.kr/web/ar/lu/luLandDet.jsp?pnu=3611036024105480016&amp;isNoScr=script&amp;mode=search", "토지이음")</f>
        <v/>
      </c>
      <c r="O1702" s="3" t="inlineStr">
        <is>
          <t>KB</t>
        </is>
      </c>
      <c r="P1702" s="4" t="n">
        <v>1</v>
      </c>
      <c r="Q1702" s="4" t="n">
        <v>756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고복리 548-3</t>
        </is>
      </c>
      <c r="B1703" s="3" t="inlineStr">
        <is>
          <t>보전관리지역</t>
        </is>
      </c>
      <c r="C1703" s="3" t="inlineStr">
        <is>
          <t>임야</t>
        </is>
      </c>
      <c r="D1703" s="3" t="inlineStr">
        <is>
          <t>임야</t>
        </is>
      </c>
      <c r="E1703" s="3" t="inlineStr">
        <is>
          <t>매매</t>
        </is>
      </c>
      <c r="F1703" s="4" t="n">
        <v>90000</v>
      </c>
      <c r="G1703" s="4" t="n">
        <v>1922</v>
      </c>
      <c r="H1703" s="4" t="n">
        <v>581</v>
      </c>
      <c r="I1703" s="5" t="n">
        <v>154.9</v>
      </c>
      <c r="J1703" s="5" t="n">
        <v>42.1</v>
      </c>
      <c r="K1703" s="3" t="inlineStr">
        <is>
          <t>도로지분있음,주변개발가능성많은곳임야.맹지아님.조절가능.연서면고복저수지조망</t>
        </is>
      </c>
      <c r="L1703" s="6">
        <f>HYPERLINK("https://fin.land.naver.com/articles/2656136485", "매물Link")</f>
        <v/>
      </c>
      <c r="M1703" s="6">
        <f>HYPERLINK("https://map.naver.com/p/search/연서면 고복리 548-3", "지도Link")</f>
        <v/>
      </c>
      <c r="N1703" s="6">
        <f>HYPERLINK("http://www.eum.go.kr/web/ar/lu/luLandDet.jsp?pnu=3611036024105480003&amp;isNoScr=script&amp;mode=search", "토지이음")</f>
        <v/>
      </c>
      <c r="O1703" s="3" t="inlineStr">
        <is>
          <t>테크노금성</t>
        </is>
      </c>
      <c r="P1703" s="4" t="n">
        <v>1</v>
      </c>
      <c r="Q1703" s="4" t="n">
        <v>1714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완경사</t>
        </is>
      </c>
      <c r="U1703" s="3" t="inlineStr">
        <is>
          <t>가로장방</t>
        </is>
      </c>
      <c r="V1703" s="3" t="inlineStr">
        <is>
          <t>세로한면(불)</t>
        </is>
      </c>
    </row>
    <row r="1704">
      <c r="A1704" s="3" t="inlineStr">
        <is>
          <t>연서면 고복리 556-12</t>
        </is>
      </c>
      <c r="B1704" s="3" t="inlineStr">
        <is>
          <t>보전관리지역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69000</v>
      </c>
      <c r="G1704" s="4" t="n">
        <v>1140</v>
      </c>
      <c r="H1704" s="4" t="n">
        <v>345</v>
      </c>
      <c r="I1704" s="5" t="n">
        <v>200</v>
      </c>
      <c r="J1704" s="5" t="n">
        <v>52.8</v>
      </c>
      <c r="K1704" s="3" t="inlineStr">
        <is>
          <t>고복저수지 최고 조망권을 가진 주택지</t>
        </is>
      </c>
      <c r="L1704" s="6">
        <f>HYPERLINK("https://fin.land.naver.com/articles/2651942581", "매물Link")</f>
        <v/>
      </c>
      <c r="M1704" s="6">
        <f>HYPERLINK("https://map.naver.com/p/search/연서면 고복리 556-12", "지도Link")</f>
        <v/>
      </c>
      <c r="N1704" s="6">
        <f>HYPERLINK("http://www.eum.go.kr/web/ar/lu/luLandDet.jsp?pnu=3611036024105560012&amp;isNoScr=script&amp;mode=search", "토지이음")</f>
        <v/>
      </c>
      <c r="O1704" s="3" t="inlineStr">
        <is>
          <t>용궁</t>
        </is>
      </c>
      <c r="P1704" s="4" t="n">
        <v>1</v>
      </c>
      <c r="Q1704" s="4" t="n">
        <v>1139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556-28</t>
        </is>
      </c>
      <c r="B1705" s="3" t="inlineStr">
        <is>
          <t>보전관리지역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184000</v>
      </c>
      <c r="G1705" s="4" t="n">
        <v>1520</v>
      </c>
      <c r="H1705" s="4" t="n">
        <v>460</v>
      </c>
      <c r="I1705" s="5" t="n">
        <v>400</v>
      </c>
      <c r="J1705" s="5" t="n">
        <v>119.4</v>
      </c>
      <c r="K1705" s="3" t="inlineStr">
        <is>
          <t>2필지 대지와근생건물 일괄매매.고복저수지인접.</t>
        </is>
      </c>
      <c r="L1705" s="6">
        <f>HYPERLINK("https://fin.land.naver.com/articles/2652823595", "매물Link")</f>
        <v/>
      </c>
      <c r="M1705" s="6">
        <f>HYPERLINK("https://map.naver.com/p/search/연서면 고복리 556-28", "지도Link")</f>
        <v/>
      </c>
      <c r="N1705" s="6">
        <f>HYPERLINK("http://www.eum.go.kr/web/ar/lu/luLandDet.jsp?pnu=3611036024105560028&amp;isNoScr=script&amp;mode=search", "토지이음")</f>
        <v/>
      </c>
      <c r="O1705" s="3" t="inlineStr">
        <is>
          <t>담뜰</t>
        </is>
      </c>
      <c r="P1705" s="4" t="n">
        <v>1</v>
      </c>
      <c r="Q1705" s="4" t="n">
        <v>793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56-10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21000</v>
      </c>
      <c r="G1706" s="4" t="n">
        <v>2010</v>
      </c>
      <c r="H1706" s="4" t="n">
        <v>608</v>
      </c>
      <c r="I1706" s="5" t="n">
        <v>34.5</v>
      </c>
      <c r="J1706" s="5" t="n">
        <v>22</v>
      </c>
      <c r="K1706" s="3" t="inlineStr">
        <is>
          <t>투자용, 주말 농장용으로 추천 합니다</t>
        </is>
      </c>
      <c r="L1706" s="6">
        <f>HYPERLINK("https://fin.land.naver.com/articles/2650856617", "매물Link")</f>
        <v/>
      </c>
      <c r="M1706" s="6">
        <f>HYPERLINK("https://map.naver.com/p/search/연서면 고복리 56-10", "지도Link")</f>
        <v/>
      </c>
      <c r="N1706" s="6">
        <f>HYPERLINK("http://www.eum.go.kr/web/ar/lu/luLandDet.jsp?pnu=3611036024100560010&amp;isNoScr=script&amp;mode=search", "토지이음")</f>
        <v/>
      </c>
      <c r="O1706" s="3" t="inlineStr">
        <is>
          <t>세종대박</t>
        </is>
      </c>
      <c r="P1706" s="4" t="n">
        <v>1</v>
      </c>
      <c r="Q1706" s="4" t="n">
        <v>2010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고복리 56-10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24000</v>
      </c>
      <c r="G1707" s="4" t="n">
        <v>2010</v>
      </c>
      <c r="H1707" s="4" t="n">
        <v>608</v>
      </c>
      <c r="I1707" s="5" t="n">
        <v>39.5</v>
      </c>
      <c r="J1707" s="5" t="n">
        <v>22</v>
      </c>
      <c r="K1707" s="3" t="inlineStr">
        <is>
          <t>대토용 및 주말농장</t>
        </is>
      </c>
      <c r="L1707" s="6">
        <f>HYPERLINK("https://fin.land.naver.com/articles/2652095031", "매물Link")</f>
        <v/>
      </c>
      <c r="M1707" s="6">
        <f>HYPERLINK("https://map.naver.com/p/search/연서면 고복리 56-10", "지도Link")</f>
        <v/>
      </c>
      <c r="N1707" s="6">
        <f>HYPERLINK("http://www.eum.go.kr/web/ar/lu/luLandDet.jsp?pnu=3611036024100560010&amp;isNoScr=script&amp;mode=search", "토지이음")</f>
        <v/>
      </c>
      <c r="O1707" s="3" t="inlineStr">
        <is>
          <t>지호주식회사</t>
        </is>
      </c>
      <c r="P1707" s="4" t="n">
        <v>1</v>
      </c>
      <c r="Q1707" s="4" t="n">
        <v>2010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연서면 고복리 589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108000</v>
      </c>
      <c r="G1708" s="4" t="n">
        <v>3716</v>
      </c>
      <c r="H1708" s="4" t="n">
        <v>1124</v>
      </c>
      <c r="I1708" s="5" t="n">
        <v>96.09999999999999</v>
      </c>
      <c r="J1708" s="5" t="n">
        <v>42.8</v>
      </c>
      <c r="K1708" s="3" t="inlineStr">
        <is>
          <t>대토용, 자경용, 전원주택, 투자용으로 추천.</t>
        </is>
      </c>
      <c r="L1708" s="6">
        <f>HYPERLINK("https://fin.land.naver.com/articles/2656006118", "매물Link")</f>
        <v/>
      </c>
      <c r="M1708" s="6">
        <f>HYPERLINK("https://map.naver.com/p/search/연서면 고복리 589", "지도Link")</f>
        <v/>
      </c>
      <c r="N1708" s="6">
        <f>HYPERLINK("http://www.eum.go.kr/web/ar/lu/luLandDet.jsp?pnu=3611036024105890000&amp;isNoScr=script&amp;mode=search", "토지이음")</f>
        <v/>
      </c>
      <c r="O1708" s="3" t="inlineStr">
        <is>
          <t>세종대장</t>
        </is>
      </c>
      <c r="P1708" s="4" t="n">
        <v>1</v>
      </c>
      <c r="Q1708" s="4" t="n">
        <v>3716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세로한면(불)</t>
        </is>
      </c>
    </row>
    <row r="1709">
      <c r="A1709" s="3" t="inlineStr">
        <is>
          <t>연서면 고복리 97-4</t>
        </is>
      </c>
      <c r="B1709" s="3" t="inlineStr">
        <is>
          <t>생산관리지역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118000</v>
      </c>
      <c r="G1709" s="4" t="n">
        <v>3905</v>
      </c>
      <c r="H1709" s="4" t="n">
        <v>1181</v>
      </c>
      <c r="I1709" s="5" t="n">
        <v>99.90000000000001</v>
      </c>
      <c r="J1709" s="5" t="n">
        <v>24.4</v>
      </c>
      <c r="K1709" s="3" t="inlineStr">
        <is>
          <t>고복저수지 인근의 전원주택지, 3필지</t>
        </is>
      </c>
      <c r="L1709" s="6">
        <f>HYPERLINK("https://fin.land.naver.com/articles/2653296017", "매물Link")</f>
        <v/>
      </c>
      <c r="M1709" s="6">
        <f>HYPERLINK("https://map.naver.com/p/search/연서면 고복리 97-4", "지도Link")</f>
        <v/>
      </c>
      <c r="N1709" s="6">
        <f>HYPERLINK("http://www.eum.go.kr/web/ar/lu/luLandDet.jsp?pnu=3611036024100970004&amp;isNoScr=script&amp;mode=search",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2787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고복리 산102-1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50000</v>
      </c>
      <c r="G1710" s="4" t="n">
        <v>61742</v>
      </c>
      <c r="H1710" s="4" t="n">
        <v>18677</v>
      </c>
      <c r="I1710" s="5" t="n">
        <v>2.7</v>
      </c>
      <c r="J1710" s="5" t="n">
        <v>3.4</v>
      </c>
      <c r="K1710" s="3" t="inlineStr">
        <is>
          <t>명성공인, 급매 연서면 임야 추천 매물</t>
        </is>
      </c>
      <c r="L1710" s="6">
        <f>HYPERLINK("https://fin.land.naver.com/articles/2650852401", "매물Link")</f>
        <v/>
      </c>
      <c r="M1710" s="6">
        <f>HYPERLINK("https://map.naver.com/p/search/연서면 고복리 산102-1", "지도Link")</f>
        <v/>
      </c>
      <c r="N1710" s="6">
        <f>HYPERLINK("http://www.eum.go.kr/web/ar/lu/luLandDet.jsp?pnu=3611036024201020001&amp;isNoScr=script&amp;mode=search", "토지이음")</f>
        <v/>
      </c>
      <c r="O1710" s="3" t="inlineStr">
        <is>
          <t>명성</t>
        </is>
      </c>
      <c r="P1710" s="4" t="n">
        <v>1</v>
      </c>
      <c r="Q1710" s="4" t="n">
        <v>61742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고복리 산3</t>
        </is>
      </c>
      <c r="B1711" s="3" t="inlineStr">
        <is>
          <t>보전관리지역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4300</v>
      </c>
      <c r="G1711" s="4" t="n">
        <v>661</v>
      </c>
      <c r="H1711" s="4" t="n">
        <v>200</v>
      </c>
      <c r="I1711" s="5" t="n">
        <v>21.5</v>
      </c>
      <c r="J1711" s="5" t="n">
        <v>5.1</v>
      </c>
      <c r="K1711" s="3" t="inlineStr">
        <is>
          <t>세종시 임야 지분 매매</t>
        </is>
      </c>
      <c r="L1711" s="6">
        <f>HYPERLINK("https://fin.land.naver.com/articles/2654956041", "매물Link")</f>
        <v/>
      </c>
      <c r="M1711" s="6">
        <f>HYPERLINK("https://map.naver.com/p/search/연서면 고복리 산3", "지도Link")</f>
        <v/>
      </c>
      <c r="N1711" s="6">
        <f>HYPERLINK("http://www.eum.go.kr/web/ar/lu/luLandDet.jsp?pnu=3611036024200030000&amp;isNoScr=script&amp;mode=search", "토지이음")</f>
        <v/>
      </c>
      <c r="O1711" s="3" t="inlineStr">
        <is>
          <t>최고봉</t>
        </is>
      </c>
      <c r="P1711" s="4" t="n">
        <v>1</v>
      </c>
      <c r="Q1711" s="4" t="n">
        <v>27769</v>
      </c>
      <c r="R1711" s="3" t="inlineStr">
        <is>
          <t>농림지역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고복리 산34-6</t>
        </is>
      </c>
      <c r="B1712" s="3" t="inlineStr">
        <is>
          <t>보전관리지역</t>
        </is>
      </c>
      <c r="C1712" s="3" t="inlineStr">
        <is>
          <t>임야</t>
        </is>
      </c>
      <c r="D1712" s="3" t="inlineStr">
        <is>
          <t>임야</t>
        </is>
      </c>
      <c r="E1712" s="3" t="inlineStr">
        <is>
          <t>매매</t>
        </is>
      </c>
      <c r="F1712" s="4" t="n">
        <v>100000</v>
      </c>
      <c r="G1712" s="4" t="n">
        <v>3164</v>
      </c>
      <c r="H1712" s="4" t="n">
        <v>957</v>
      </c>
      <c r="I1712" s="5" t="n">
        <v>104.5</v>
      </c>
      <c r="J1712" s="5" t="n">
        <v>4.2</v>
      </c>
      <c r="K1712" s="3" t="inlineStr">
        <is>
          <t>고복저수지가 잘 보이고 포장도로에 접한 경사도 완만한 보전관리지역의 임야</t>
        </is>
      </c>
      <c r="L1712" s="6">
        <f>HYPERLINK("https://fin.land.naver.com/articles/2654113747", "매물Link")</f>
        <v/>
      </c>
      <c r="M1712" s="6">
        <f>HYPERLINK("https://map.naver.com/p/search/연서면 고복리 산34-6", "지도Link")</f>
        <v/>
      </c>
      <c r="N1712" s="6">
        <f>HYPERLINK("http://www.eum.go.kr/web/ar/lu/luLandDet.jsp?pnu=3611036024200340006&amp;isNoScr=script&amp;mode=search", "토지이음")</f>
        <v/>
      </c>
      <c r="O1712" s="3" t="inlineStr">
        <is>
          <t>스마일세종</t>
        </is>
      </c>
      <c r="P1712" s="4" t="n">
        <v>1</v>
      </c>
      <c r="Q1712" s="4" t="n">
        <v>17717</v>
      </c>
      <c r="R1712" s="3" t="inlineStr">
        <is>
          <t>자연환경보전지역</t>
        </is>
      </c>
      <c r="S1712" s="3" t="inlineStr">
        <is>
          <t>자연림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산96-6</t>
        </is>
      </c>
      <c r="B1713" s="3" t="inlineStr">
        <is>
          <t>보전관리지역</t>
        </is>
      </c>
      <c r="C1713" s="3" t="inlineStr">
        <is>
          <t>목장용지</t>
        </is>
      </c>
      <c r="D1713" s="3" t="inlineStr">
        <is>
          <t>목장용지</t>
        </is>
      </c>
      <c r="E1713" s="3" t="inlineStr">
        <is>
          <t>매매</t>
        </is>
      </c>
      <c r="F1713" s="4" t="n">
        <v>362000</v>
      </c>
      <c r="G1713" s="4" t="n">
        <v>11983</v>
      </c>
      <c r="H1713" s="4" t="n">
        <v>3625</v>
      </c>
      <c r="I1713" s="5" t="n">
        <v>99.90000000000001</v>
      </c>
      <c r="J1713" s="5" t="n">
        <v>10.5</v>
      </c>
      <c r="K1713" s="3" t="inlineStr">
        <is>
          <t>절충가능, 경사도가 완만하여 전원주택부지로 개발하기 최적의 토지입니다.</t>
        </is>
      </c>
      <c r="L1713" s="6">
        <f>HYPERLINK("https://fin.land.naver.com/articles/2653857900", "매물Link")</f>
        <v/>
      </c>
      <c r="M1713" s="6">
        <f>HYPERLINK("https://map.naver.com/p/search/연서면 고복리 산96-6", "지도Link")</f>
        <v/>
      </c>
      <c r="N1713" s="6">
        <f>HYPERLINK("http://www.eum.go.kr/web/ar/lu/luLandDet.jsp?pnu=3611036024200960006&amp;isNoScr=script&amp;mode=search", "토지이음")</f>
        <v/>
      </c>
      <c r="O1713" s="3" t="inlineStr">
        <is>
          <t>스마일세종</t>
        </is>
      </c>
      <c r="P1713" s="4" t="n">
        <v>1</v>
      </c>
      <c r="Q1713" s="4" t="n">
        <v>11983</v>
      </c>
      <c r="R1713" s="3" t="inlineStr">
        <is>
          <t>지정되지않음</t>
        </is>
      </c>
      <c r="S1713" s="3" t="inlineStr">
        <is>
          <t>자연림</t>
        </is>
      </c>
      <c r="T1713" s="3" t="inlineStr">
        <is>
          <t>완경사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국촌리 166-29</t>
        </is>
      </c>
      <c r="B1714" s="3" t="inlineStr">
        <is>
          <t>계획관리지역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222000</v>
      </c>
      <c r="G1714" s="4" t="n">
        <v>3183</v>
      </c>
      <c r="H1714" s="4" t="n">
        <v>963</v>
      </c>
      <c r="I1714" s="5" t="n">
        <v>230.5</v>
      </c>
      <c r="J1714" s="5" t="n">
        <v>27.9</v>
      </c>
      <c r="K1714" s="3" t="inlineStr">
        <is>
          <t>근린상가 건축허가 득한 스마트국가산업단지 인근의 계획관리지역의 평탄한임야</t>
        </is>
      </c>
      <c r="L1714" s="6">
        <f>HYPERLINK("https://fin.land.naver.com/articles/2654122713", "매물Link")</f>
        <v/>
      </c>
      <c r="M1714" s="6">
        <f>HYPERLINK("https://map.naver.com/p/search/연서면 국촌리 166-29", "지도Link")</f>
        <v/>
      </c>
      <c r="N1714" s="6">
        <f>HYPERLINK("http://www.eum.go.kr/web/ar/lu/luLandDet.jsp?pnu=3611036030101660029&amp;isNoScr=script&amp;mode=search",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2158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국촌리 172-22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61300</v>
      </c>
      <c r="G1715" s="4" t="n">
        <v>965</v>
      </c>
      <c r="H1715" s="4" t="n">
        <v>292</v>
      </c>
      <c r="I1715" s="5" t="n">
        <v>209.9</v>
      </c>
      <c r="J1715" s="5" t="n">
        <v>59.5</v>
      </c>
      <c r="K1715" s="3" t="inlineStr">
        <is>
          <t>세종국가산업단지 바로 앞 2차선도로에접한 관리지역의 토지 매매</t>
        </is>
      </c>
      <c r="L1715" s="6">
        <f>HYPERLINK("https://fin.land.naver.com/articles/2654999446", "매물Link")</f>
        <v/>
      </c>
      <c r="M1715" s="6">
        <f>HYPERLINK("https://map.naver.com/p/search/연서면 국촌리 172-22", "지도Link")</f>
        <v/>
      </c>
      <c r="N1715" s="6">
        <f>HYPERLINK("http://www.eum.go.kr/web/ar/lu/luLandDet.jsp?pnu=3611036030101720022&amp;isNoScr=script&amp;mode=search",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566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국촌리 24</t>
        </is>
      </c>
      <c r="B1716" s="3" t="inlineStr">
        <is>
          <t>계획관리지역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35000</v>
      </c>
      <c r="G1716" s="4" t="n">
        <v>1015</v>
      </c>
      <c r="H1716" s="4" t="n">
        <v>307</v>
      </c>
      <c r="I1716" s="5" t="n">
        <v>114</v>
      </c>
      <c r="J1716" s="5" t="n">
        <v>56.4</v>
      </c>
      <c r="K1716" s="3" t="inlineStr">
        <is>
          <t>급매,도로접한 계획관리지역,알토란 토지,가격조정가능</t>
        </is>
      </c>
      <c r="L1716" s="6">
        <f>HYPERLINK("https://fin.land.naver.com/articles/2651676153", "매물Link")</f>
        <v/>
      </c>
      <c r="M1716" s="6">
        <f>HYPERLINK("https://map.naver.com/p/search/연서면 국촌리 24", "지도Link")</f>
        <v/>
      </c>
      <c r="N1716" s="6">
        <f>HYPERLINK("http://www.eum.go.kr/web/ar/lu/luLandDet.jsp?pnu=3611036030100240000&amp;isNoScr=script&amp;mode=search", "토지이음")</f>
        <v/>
      </c>
      <c r="O1716" s="3" t="inlineStr">
        <is>
          <t>고운맘</t>
        </is>
      </c>
      <c r="P1716" s="4" t="n">
        <v>1</v>
      </c>
      <c r="Q1716" s="4" t="n">
        <v>1015</v>
      </c>
      <c r="R1716" s="3" t="inlineStr">
        <is>
          <t>지정되지않음</t>
        </is>
      </c>
      <c r="S1716" s="3" t="inlineStr">
        <is>
          <t>과수원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세로한면(불)</t>
        </is>
      </c>
    </row>
    <row r="1717">
      <c r="A1717" s="3" t="inlineStr">
        <is>
          <t>연서면 국촌리 24</t>
        </is>
      </c>
      <c r="B1717" s="3" t="inlineStr">
        <is>
          <t>계획관리지역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35000</v>
      </c>
      <c r="G1717" s="4" t="n">
        <v>1015</v>
      </c>
      <c r="H1717" s="4" t="n">
        <v>307</v>
      </c>
      <c r="I1717" s="5" t="n">
        <v>114</v>
      </c>
      <c r="J1717" s="5" t="n">
        <v>56.4</v>
      </c>
      <c r="K1717" s="3" t="inlineStr">
        <is>
          <t>스마트국가산업단지와 북세종IC 인근 계획관리지역 토지로 지가상승 예상.</t>
        </is>
      </c>
      <c r="L1717" s="6">
        <f>HYPERLINK("https://fin.land.naver.com/articles/2650938722", "매물Link")</f>
        <v/>
      </c>
      <c r="M1717" s="6">
        <f>HYPERLINK("https://map.naver.com/p/search/연서면 국촌리 24", "지도Link")</f>
        <v/>
      </c>
      <c r="N1717" s="6">
        <f>HYPERLINK("http://www.eum.go.kr/web/ar/lu/luLandDet.jsp?pnu=3611036030100240000&amp;isNoScr=script&amp;mode=search", "토지이음")</f>
        <v/>
      </c>
      <c r="O1717" s="3" t="inlineStr">
        <is>
          <t>세종대장</t>
        </is>
      </c>
      <c r="P1717" s="4" t="n">
        <v>2</v>
      </c>
      <c r="Q1717" s="4" t="n">
        <v>1015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세로한면(불)</t>
        </is>
      </c>
    </row>
    <row r="1718">
      <c r="A1718" s="3" t="inlineStr">
        <is>
          <t>연서면 국촌리 321-8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21200</v>
      </c>
      <c r="G1718" s="4" t="n">
        <v>350</v>
      </c>
      <c r="H1718" s="4" t="n">
        <v>106</v>
      </c>
      <c r="I1718" s="5" t="n">
        <v>200</v>
      </c>
      <c r="J1718" s="5" t="n">
        <v>57.5</v>
      </c>
      <c r="K1718" s="3" t="inlineStr">
        <is>
          <t>추천. 세종스마트산단 인접 대지</t>
        </is>
      </c>
      <c r="L1718" s="6">
        <f>HYPERLINK("https://fin.land.naver.com/articles/2654807804", "매물Link")</f>
        <v/>
      </c>
      <c r="M1718" s="6">
        <f>HYPERLINK("https://map.naver.com/p/search/연서면 국촌리 321-8", "지도Link")</f>
        <v/>
      </c>
      <c r="N1718" s="6">
        <f>HYPERLINK("http://www.eum.go.kr/web/ar/lu/luLandDet.jsp?pnu=3611036030103210008&amp;isNoScr=script&amp;mode=search",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350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완경사</t>
        </is>
      </c>
      <c r="U1718" s="3" t="inlineStr">
        <is>
          <t>가로장방</t>
        </is>
      </c>
      <c r="V1718" s="3" t="inlineStr">
        <is>
          <t>세로한면(불)</t>
        </is>
      </c>
    </row>
    <row r="1719">
      <c r="A1719" s="3" t="inlineStr">
        <is>
          <t>연서면 국촌리 53-5</t>
        </is>
      </c>
      <c r="B1719" s="3" t="inlineStr">
        <is>
          <t>농림지역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1663</v>
      </c>
      <c r="H1719" s="4" t="n">
        <v>503</v>
      </c>
      <c r="I1719" s="5" t="n">
        <v>89.5</v>
      </c>
      <c r="J1719" s="5" t="n">
        <v>28.8</v>
      </c>
      <c r="K1719" s="3" t="inlineStr">
        <is>
          <t>대토,투자로 좋은 위치의 토지입니다</t>
        </is>
      </c>
      <c r="L1719" s="6">
        <f>HYPERLINK("https://fin.land.naver.com/articles/2650858546", "매물Link")</f>
        <v/>
      </c>
      <c r="M1719" s="6">
        <f>HYPERLINK("https://map.naver.com/p/search/연서면 국촌리 53-5", "지도Link")</f>
        <v/>
      </c>
      <c r="N1719" s="6">
        <f>HYPERLINK("http://www.eum.go.kr/web/ar/lu/luLandDet.jsp?pnu=3611036030100530005&amp;isNoScr=script&amp;mode=search", "토지이음")</f>
        <v/>
      </c>
      <c r="O1719" s="3" t="inlineStr">
        <is>
          <t>세종대박</t>
        </is>
      </c>
      <c r="P1719" s="4" t="n">
        <v>1</v>
      </c>
      <c r="Q1719" s="4" t="n">
        <v>1663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국촌리 76-5</t>
        </is>
      </c>
      <c r="B1720" s="3" t="inlineStr">
        <is>
          <t>농림지역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95000</v>
      </c>
      <c r="G1720" s="4" t="n">
        <v>1573</v>
      </c>
      <c r="H1720" s="4" t="n">
        <v>476</v>
      </c>
      <c r="I1720" s="5" t="n">
        <v>199.6</v>
      </c>
      <c r="J1720" s="5" t="n">
        <v>39.5</v>
      </c>
      <c r="K1720" s="3" t="inlineStr">
        <is>
          <t>시내와 가깝고 북세종 IC 인접, 창고에서 월세 나오는 농지</t>
        </is>
      </c>
      <c r="L1720" s="6">
        <f>HYPERLINK("https://fin.land.naver.com/articles/2652066396", "매물Link")</f>
        <v/>
      </c>
      <c r="M1720" s="6">
        <f>HYPERLINK("https://map.naver.com/p/search/연서면 국촌리 76-5", "지도Link")</f>
        <v/>
      </c>
      <c r="N1720" s="6">
        <f>HYPERLINK("http://www.eum.go.kr/web/ar/lu/luLandDet.jsp?pnu=3611036030100760005&amp;isNoScr=script&amp;mode=search", "토지이음")</f>
        <v/>
      </c>
      <c r="O1720" s="3" t="inlineStr">
        <is>
          <t>신와촌</t>
        </is>
      </c>
      <c r="P1720" s="4" t="n">
        <v>1</v>
      </c>
      <c r="Q1720" s="4" t="n">
        <v>1575</v>
      </c>
      <c r="R1720" s="3" t="inlineStr">
        <is>
          <t>지정되지않음</t>
        </is>
      </c>
      <c r="S1720" s="3" t="inlineStr">
        <is>
          <t>전창고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기룡리 137-1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31000</v>
      </c>
      <c r="G1721" s="4" t="n">
        <v>900</v>
      </c>
      <c r="H1721" s="4" t="n">
        <v>272</v>
      </c>
      <c r="I1721" s="5" t="n">
        <v>114</v>
      </c>
      <c r="J1721" s="5" t="n">
        <v>39.5</v>
      </c>
      <c r="K1721" s="3" t="inlineStr">
        <is>
          <t>농업인 아니더라도 주말체험가능, 컨테이너,수도,전기,통신 설치됨.</t>
        </is>
      </c>
      <c r="L1721" s="6">
        <f>HYPERLINK("https://fin.land.naver.com/articles/2654658477", "매물Link")</f>
        <v/>
      </c>
      <c r="M1721" s="6">
        <f>HYPERLINK("https://map.naver.com/p/search/연서면 기룡리 137-1", "지도Link")</f>
        <v/>
      </c>
      <c r="N1721" s="6">
        <f>HYPERLINK("http://www.eum.go.kr/web/ar/lu/luLandDet.jsp?pnu=3611036028101370001&amp;isNoScr=script&amp;mode=search", "토지이음")</f>
        <v/>
      </c>
      <c r="O1721" s="3" t="inlineStr">
        <is>
          <t>세종대장</t>
        </is>
      </c>
      <c r="P1721" s="4" t="n">
        <v>1</v>
      </c>
      <c r="Q1721" s="4" t="n">
        <v>900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기룡리 156-4</t>
        </is>
      </c>
      <c r="B1722" s="3" t="inlineStr">
        <is>
          <t>생산관리지역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17000</v>
      </c>
      <c r="G1722" s="4" t="n">
        <v>1020</v>
      </c>
      <c r="H1722" s="4" t="n">
        <v>309</v>
      </c>
      <c r="I1722" s="5" t="n">
        <v>55</v>
      </c>
      <c r="J1722" s="5" t="n">
        <v>15</v>
      </c>
      <c r="K1722" s="3" t="inlineStr">
        <is>
          <t>급매, 구거 이용하여 출입 가능함</t>
        </is>
      </c>
      <c r="L1722" s="6">
        <f>HYPERLINK("https://fin.land.naver.com/articles/2652148264", "매물Link")</f>
        <v/>
      </c>
      <c r="M1722" s="6">
        <f>HYPERLINK("https://map.naver.com/p/search/연서면 기룡리 156-4", "지도Link")</f>
        <v/>
      </c>
      <c r="N1722" s="6">
        <f>HYPERLINK("http://www.eum.go.kr/web/ar/lu/luLandDet.jsp?pnu=3611036028101560004&amp;isNoScr=script&amp;mode=search", "토지이음")</f>
        <v/>
      </c>
      <c r="O1722" s="3" t="inlineStr">
        <is>
          <t>해들일번지</t>
        </is>
      </c>
      <c r="P1722" s="4" t="n">
        <v>1</v>
      </c>
      <c r="Q1722" s="4" t="n">
        <v>1020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급경사</t>
        </is>
      </c>
      <c r="U1722" s="3" t="inlineStr">
        <is>
          <t>부정형</t>
        </is>
      </c>
      <c r="V1722" s="3" t="inlineStr">
        <is>
          <t>맹지</t>
        </is>
      </c>
    </row>
    <row r="1723">
      <c r="A1723" s="3" t="inlineStr">
        <is>
          <t>연서면 기룡리 17</t>
        </is>
      </c>
      <c r="B1723" s="3" t="inlineStr">
        <is>
          <t>생산관리지역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63000</v>
      </c>
      <c r="G1723" s="4" t="n">
        <v>2314</v>
      </c>
      <c r="H1723" s="4" t="n">
        <v>700</v>
      </c>
      <c r="I1723" s="5" t="n">
        <v>90</v>
      </c>
      <c r="J1723" s="5" t="n">
        <v>30.7</v>
      </c>
      <c r="K1723" s="3" t="inlineStr">
        <is>
          <t>연서면 기룡리 생산관리 토지, 도로접, 국가산단 인근</t>
        </is>
      </c>
      <c r="L1723" s="6">
        <f>HYPERLINK("https://fin.land.naver.com/articles/2654027615", "매물Link")</f>
        <v/>
      </c>
      <c r="M1723" s="6">
        <f>HYPERLINK("https://map.naver.com/p/search/연서면 기룡리 17", "지도Link")</f>
        <v/>
      </c>
      <c r="N1723" s="6">
        <f>HYPERLINK("http://www.eum.go.kr/web/ar/lu/luLandDet.jsp?pnu=3611036028100170000&amp;isNoScr=script&amp;mode=search", "토지이음")</f>
        <v/>
      </c>
      <c r="O1723" s="3" t="inlineStr">
        <is>
          <t>스카이</t>
        </is>
      </c>
      <c r="P1723" s="4" t="n">
        <v>1</v>
      </c>
      <c r="Q1723" s="4" t="n">
        <v>2314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277-1</t>
        </is>
      </c>
      <c r="B1724" s="3" t="inlineStr">
        <is>
          <t>생산관리지역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52000</v>
      </c>
      <c r="G1724" s="4" t="n">
        <v>2152</v>
      </c>
      <c r="H1724" s="4" t="n">
        <v>651</v>
      </c>
      <c r="I1724" s="5" t="n">
        <v>79.90000000000001</v>
      </c>
      <c r="J1724" s="5" t="n">
        <v>44</v>
      </c>
      <c r="K1724" s="3" t="inlineStr">
        <is>
          <t>기룡리토지매매 가격조정가능</t>
        </is>
      </c>
      <c r="L1724" s="6">
        <f>HYPERLINK("https://fin.land.naver.com/articles/2652695872", "매물Link")</f>
        <v/>
      </c>
      <c r="M1724" s="6">
        <f>HYPERLINK("https://map.naver.com/p/search/연서면 기룡리 277-1", "지도Link")</f>
        <v/>
      </c>
      <c r="N1724" s="6">
        <f>HYPERLINK("http://www.eum.go.kr/web/ar/lu/luLandDet.jsp?pnu=3611036028102770001&amp;isNoScr=script&amp;mode=search", "토지이음")</f>
        <v/>
      </c>
      <c r="O1724" s="3" t="inlineStr">
        <is>
          <t>고운동리치세종</t>
        </is>
      </c>
      <c r="P1724" s="4" t="n">
        <v>1</v>
      </c>
      <c r="Q1724" s="4" t="n">
        <v>2152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332-2</t>
        </is>
      </c>
      <c r="B1725" s="3" t="inlineStr">
        <is>
          <t>계획관리지역</t>
        </is>
      </c>
      <c r="C1725" s="3" t="inlineStr">
        <is>
          <t>목장용지</t>
        </is>
      </c>
      <c r="D1725" s="3" t="inlineStr">
        <is>
          <t>목장용지</t>
        </is>
      </c>
      <c r="E1725" s="3" t="inlineStr">
        <is>
          <t>매매</t>
        </is>
      </c>
      <c r="F1725" s="4" t="n">
        <v>327000</v>
      </c>
      <c r="G1725" s="4" t="n">
        <v>9018</v>
      </c>
      <c r="H1725" s="4" t="n">
        <v>2728</v>
      </c>
      <c r="I1725" s="5" t="n">
        <v>119.9</v>
      </c>
      <c r="J1725" s="5" t="n">
        <v>46.1</v>
      </c>
      <c r="K1725" s="3" t="inlineStr">
        <is>
          <t>계획관리지역</t>
        </is>
      </c>
      <c r="L1725" s="6">
        <f>HYPERLINK("https://fin.land.naver.com/articles/2654530925", "매물Link")</f>
        <v/>
      </c>
      <c r="M1725" s="6">
        <f>HYPERLINK("https://map.naver.com/p/search/연서면 기룡리 332-2", "지도Link")</f>
        <v/>
      </c>
      <c r="N1725" s="6">
        <f>HYPERLINK("http://www.eum.go.kr/web/ar/lu/luLandDet.jsp?pnu=3611036028103320002&amp;isNoScr=script&amp;mode=search", "토지이음")</f>
        <v/>
      </c>
      <c r="O1725" s="3" t="inlineStr">
        <is>
          <t>다산</t>
        </is>
      </c>
      <c r="P1725" s="4" t="n">
        <v>1</v>
      </c>
      <c r="Q1725" s="4" t="n">
        <v>9004</v>
      </c>
      <c r="R1725" s="3" t="inlineStr">
        <is>
          <t>지정되지않음</t>
        </is>
      </c>
      <c r="S1725" s="3" t="inlineStr">
        <is>
          <t>전축사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기룡리 425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237860</v>
      </c>
      <c r="G1726" s="4" t="n">
        <v>11234</v>
      </c>
      <c r="H1726" s="4" t="n">
        <v>3398</v>
      </c>
      <c r="I1726" s="5" t="n">
        <v>70</v>
      </c>
      <c r="J1726" s="5" t="n">
        <v>30.8</v>
      </c>
      <c r="K1726" s="3" t="inlineStr">
        <is>
          <t>여러필지이며 투자및 경작용으로 매우 좋음</t>
        </is>
      </c>
      <c r="L1726" s="6">
        <f>HYPERLINK("https://fin.land.naver.com/articles/2654855300", "매물Link")</f>
        <v/>
      </c>
      <c r="M1726" s="6">
        <f>HYPERLINK("https://map.naver.com/p/search/연서면 기룡리 425", "지도Link")</f>
        <v/>
      </c>
      <c r="N1726" s="6">
        <f>HYPERLINK("http://www.eum.go.kr/web/ar/lu/luLandDet.jsp?pnu=3611036028104250000&amp;isNoScr=script&amp;mode=search", "토지이음")</f>
        <v/>
      </c>
      <c r="O1726" s="3" t="inlineStr">
        <is>
          <t>세종리츠</t>
        </is>
      </c>
      <c r="P1726" s="4" t="n">
        <v>1</v>
      </c>
      <c r="Q1726" s="4" t="n">
        <v>1699</v>
      </c>
      <c r="R1726" s="3" t="inlineStr">
        <is>
          <t>지정되지않음</t>
        </is>
      </c>
      <c r="S1726" s="3" t="inlineStr">
        <is>
          <t>답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426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15000</v>
      </c>
      <c r="G1727" s="4" t="n">
        <v>654</v>
      </c>
      <c r="H1727" s="4" t="n">
        <v>198</v>
      </c>
      <c r="I1727" s="5" t="n">
        <v>75.8</v>
      </c>
      <c r="J1727" s="5" t="n">
        <v>32.9</v>
      </c>
      <c r="K1727" s="3" t="inlineStr">
        <is>
          <t>초급매 생산관리지역 성장관리계획구역 도로</t>
        </is>
      </c>
      <c r="L1727" s="6">
        <f>HYPERLINK("https://fin.land.naver.com/articles/2655017365", "매물Link")</f>
        <v/>
      </c>
      <c r="M1727" s="6">
        <f>HYPERLINK("https://map.naver.com/p/search/연서면 기룡리 426", "지도Link")</f>
        <v/>
      </c>
      <c r="N1727" s="6">
        <f>HYPERLINK("http://www.eum.go.kr/web/ar/lu/luLandDet.jsp?pnu=3611036028104260000&amp;isNoScr=script&amp;mode=search", "토지이음")</f>
        <v/>
      </c>
      <c r="O1727" s="3" t="inlineStr">
        <is>
          <t>THE행복</t>
        </is>
      </c>
      <c r="P1727" s="4" t="n">
        <v>4</v>
      </c>
      <c r="Q1727" s="4" t="n">
        <v>654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연서면 기룡리 431-1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62500</v>
      </c>
      <c r="G1728" s="4" t="n">
        <v>2952</v>
      </c>
      <c r="H1728" s="4" t="n">
        <v>893</v>
      </c>
      <c r="I1728" s="5" t="n">
        <v>70</v>
      </c>
      <c r="J1728" s="5" t="n">
        <v>39.2</v>
      </c>
      <c r="K1728" s="3" t="inlineStr">
        <is>
          <t>기룡리 계획관리지역 지목이 전으로 총2필지 일괄로 급매.</t>
        </is>
      </c>
      <c r="L1728" s="6">
        <f>HYPERLINK("https://fin.land.naver.com/articles/2651207447", "매물Link")</f>
        <v/>
      </c>
      <c r="M1728" s="6">
        <f>HYPERLINK("https://map.naver.com/p/search/연서면 기룡리 431-1", "지도Link")</f>
        <v/>
      </c>
      <c r="N1728" s="6">
        <f>HYPERLINK("http://www.eum.go.kr/web/ar/lu/luLandDet.jsp?pnu=3611036028104310001&amp;isNoScr=script&amp;mode=search",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2483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444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63000</v>
      </c>
      <c r="G1729" s="4" t="n">
        <v>2971</v>
      </c>
      <c r="H1729" s="4" t="n">
        <v>899</v>
      </c>
      <c r="I1729" s="5" t="n">
        <v>70.09999999999999</v>
      </c>
      <c r="J1729" s="5" t="n">
        <v>30.8</v>
      </c>
      <c r="K1729" s="3" t="inlineStr">
        <is>
          <t>연서면 기룡리 마을 포장도로에 접한 생산관리지역의 토지 입니다.</t>
        </is>
      </c>
      <c r="L1729" s="6">
        <f>HYPERLINK("https://fin.land.naver.com/articles/2652190431", "매물Link")</f>
        <v/>
      </c>
      <c r="M1729" s="6">
        <f>HYPERLINK("https://map.naver.com/p/search/연서면 기룡리 444", "지도Link")</f>
        <v/>
      </c>
      <c r="N1729" s="6">
        <f>HYPERLINK("http://www.eum.go.kr/web/ar/lu/luLandDet.jsp?pnu=3611036028104440000&amp;isNoScr=script&amp;mode=search", "토지이음")</f>
        <v/>
      </c>
      <c r="O1729" s="3" t="inlineStr">
        <is>
          <t>스마일세종</t>
        </is>
      </c>
      <c r="P1729" s="4" t="n">
        <v>1</v>
      </c>
      <c r="Q1729" s="4" t="n">
        <v>2971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기룡리 484</t>
        </is>
      </c>
      <c r="B1730" s="3" t="inlineStr">
        <is>
          <t>생산관리지역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75000</v>
      </c>
      <c r="G1730" s="4" t="n">
        <v>2886</v>
      </c>
      <c r="H1730" s="4" t="n">
        <v>873</v>
      </c>
      <c r="I1730" s="5" t="n">
        <v>85.90000000000001</v>
      </c>
      <c r="J1730" s="5" t="n">
        <v>27.3</v>
      </c>
      <c r="K1730" s="3" t="inlineStr">
        <is>
          <t>보상이 시작된 세종국가산단과 인접하여 투자가치가 높음</t>
        </is>
      </c>
      <c r="L1730" s="6">
        <f>HYPERLINK("https://fin.land.naver.com/articles/2652786098", "매물Link")</f>
        <v/>
      </c>
      <c r="M1730" s="6">
        <f>HYPERLINK("https://map.naver.com/p/search/연서면 기룡리 484", "지도Link")</f>
        <v/>
      </c>
      <c r="N1730" s="6">
        <f>HYPERLINK("http://www.eum.go.kr/web/ar/lu/luLandDet.jsp?pnu=3611036028104840000&amp;isNoScr=script&amp;mode=search", "토지이음")</f>
        <v/>
      </c>
      <c r="O1730" s="3" t="inlineStr">
        <is>
          <t>가람</t>
        </is>
      </c>
      <c r="P1730" s="4" t="n">
        <v>1</v>
      </c>
      <c r="Q1730" s="4" t="n">
        <v>2886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51-2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21000</v>
      </c>
      <c r="G1731" s="4" t="n">
        <v>252</v>
      </c>
      <c r="H1731" s="4" t="n">
        <v>76</v>
      </c>
      <c r="I1731" s="5" t="n">
        <v>276.3</v>
      </c>
      <c r="J1731" s="5" t="n">
        <v>73.2</v>
      </c>
      <c r="K1731" s="3" t="inlineStr">
        <is>
          <t>급매 가격조정가능</t>
        </is>
      </c>
      <c r="L1731" s="6">
        <f>HYPERLINK("https://fin.land.naver.com/articles/2654418965", "매물Link")</f>
        <v/>
      </c>
      <c r="M1731" s="6">
        <f>HYPERLINK("https://map.naver.com/p/search/연서면 기룡리 51-2", "지도Link")</f>
        <v/>
      </c>
      <c r="N1731" s="6">
        <f>HYPERLINK("http://www.eum.go.kr/web/ar/lu/luLandDet.jsp?pnu=3611036028100510002&amp;isNoScr=script&amp;mode=search", "토지이음")</f>
        <v/>
      </c>
      <c r="O1731" s="3" t="inlineStr">
        <is>
          <t>그래그</t>
        </is>
      </c>
      <c r="P1731" s="4" t="n">
        <v>1</v>
      </c>
      <c r="Q1731" s="4" t="n">
        <v>252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소로한면</t>
        </is>
      </c>
    </row>
    <row r="1732">
      <c r="A1732" s="3" t="inlineStr">
        <is>
          <t>연서면 기룡리 52-12</t>
        </is>
      </c>
      <c r="B1732" s="3" t="inlineStr">
        <is>
          <t>계획관리지역</t>
        </is>
      </c>
      <c r="C1732" s="3" t="inlineStr">
        <is>
          <t>양어장</t>
        </is>
      </c>
      <c r="D1732" s="3" t="inlineStr">
        <is>
          <t>양어장</t>
        </is>
      </c>
      <c r="E1732" s="3" t="inlineStr">
        <is>
          <t>매매</t>
        </is>
      </c>
      <c r="F1732" s="4" t="n">
        <v>79000</v>
      </c>
      <c r="G1732" s="4" t="n">
        <v>965</v>
      </c>
      <c r="H1732" s="4" t="n">
        <v>292</v>
      </c>
      <c r="I1732" s="5" t="n">
        <v>270.5</v>
      </c>
      <c r="J1732" s="5" t="n">
        <v>46.6</v>
      </c>
      <c r="K1732" s="3" t="inlineStr">
        <is>
          <t>연서면 기룡리 개발된 계획관리 토지, 양어장, 국가산단 인근, 건축 추천</t>
        </is>
      </c>
      <c r="L1732" s="6">
        <f>HYPERLINK("https://fin.land.naver.com/articles/2654030100", "매물Link")</f>
        <v/>
      </c>
      <c r="M1732" s="6">
        <f>HYPERLINK("https://map.naver.com/p/search/연서면 기룡리 52-12", "지도Link")</f>
        <v/>
      </c>
      <c r="N1732" s="6">
        <f>HYPERLINK("http://www.eum.go.kr/web/ar/lu/luLandDet.jsp?pnu=3611036028100520012&amp;isNoScr=script&amp;mode=search", "토지이음")</f>
        <v/>
      </c>
      <c r="O1732" s="3" t="inlineStr">
        <is>
          <t>스카이</t>
        </is>
      </c>
      <c r="P1732" s="4" t="n">
        <v>1</v>
      </c>
      <c r="Q1732" s="4" t="n">
        <v>417</v>
      </c>
      <c r="R1732" s="3" t="inlineStr">
        <is>
          <t>지정되지않음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연서면 기룡리 52-14</t>
        </is>
      </c>
      <c r="B1733" s="3" t="inlineStr">
        <is>
          <t>계획관리지역</t>
        </is>
      </c>
      <c r="C1733" s="3" t="inlineStr">
        <is>
          <t>양어장</t>
        </is>
      </c>
      <c r="D1733" s="3" t="inlineStr">
        <is>
          <t>양어장</t>
        </is>
      </c>
      <c r="E1733" s="3" t="inlineStr">
        <is>
          <t>매매</t>
        </is>
      </c>
      <c r="F1733" s="4" t="n">
        <v>39000</v>
      </c>
      <c r="G1733" s="4" t="n">
        <v>503</v>
      </c>
      <c r="H1733" s="4" t="n">
        <v>152</v>
      </c>
      <c r="I1733" s="5" t="n">
        <v>256.6</v>
      </c>
      <c r="J1733" s="5" t="n">
        <v>46.6</v>
      </c>
      <c r="K1733" s="3" t="inlineStr">
        <is>
          <t>계획관리지역 양어장</t>
        </is>
      </c>
      <c r="L1733" s="6">
        <f>HYPERLINK("https://fin.land.naver.com/articles/2654419815", "매물Link")</f>
        <v/>
      </c>
      <c r="M1733" s="6">
        <f>HYPERLINK("https://map.naver.com/p/search/연서면 기룡리 52-14", "지도Link")</f>
        <v/>
      </c>
      <c r="N1733" s="6">
        <f>HYPERLINK("http://www.eum.go.kr/web/ar/lu/luLandDet.jsp?pnu=3611036028100520014&amp;isNoScr=script&amp;mode=search",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503</v>
      </c>
      <c r="R1733" s="3" t="inlineStr">
        <is>
          <t>지정되지않음</t>
        </is>
      </c>
      <c r="S1733" s="3" t="inlineStr">
        <is>
          <t>전기타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연서면 기룡리 52-14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80000</v>
      </c>
      <c r="G1734" s="4" t="n">
        <v>1028</v>
      </c>
      <c r="H1734" s="4" t="n">
        <v>311</v>
      </c>
      <c r="I1734" s="5" t="n">
        <v>257.2</v>
      </c>
      <c r="J1734" s="5" t="n">
        <v>46.6</v>
      </c>
      <c r="K1734" s="3" t="inlineStr">
        <is>
          <t>연서면 기룡리 개발된 계획관리 토지, 국가산단 인근, 양어장, 건축 추천</t>
        </is>
      </c>
      <c r="L1734" s="6">
        <f>HYPERLINK("https://fin.land.naver.com/articles/2654030029", "매물Link")</f>
        <v/>
      </c>
      <c r="M1734" s="6">
        <f>HYPERLINK("https://map.naver.com/p/search/연서면 기룡리 52-14", "지도Link")</f>
        <v/>
      </c>
      <c r="N1734" s="6">
        <f>HYPERLINK("http://www.eum.go.kr/web/ar/lu/luLandDet.jsp?pnu=3611036028100520014&amp;isNoScr=script&amp;mode=search",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503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연서면 기룡리 52-17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21000</v>
      </c>
      <c r="G1735" s="4" t="n">
        <v>254</v>
      </c>
      <c r="H1735" s="4" t="n">
        <v>77</v>
      </c>
      <c r="I1735" s="5" t="n">
        <v>272.7</v>
      </c>
      <c r="J1735" s="5" t="n">
        <v>44.4</v>
      </c>
      <c r="K1735" s="3" t="inlineStr">
        <is>
          <t>급매 가격조정가능</t>
        </is>
      </c>
      <c r="L1735" s="6">
        <f>HYPERLINK("https://fin.land.naver.com/articles/2654419075", "매물Link")</f>
        <v/>
      </c>
      <c r="M1735" s="6">
        <f>HYPERLINK("https://map.naver.com/p/search/연서면 기룡리 52-17", "지도Link")</f>
        <v/>
      </c>
      <c r="N1735" s="6">
        <f>HYPERLINK("http://www.eum.go.kr/web/ar/lu/luLandDet.jsp?pnu=3611036028100520017&amp;isNoScr=script&amp;mode=search",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254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연서면 기룡리 52-6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35000</v>
      </c>
      <c r="G1736" s="4" t="n">
        <v>430</v>
      </c>
      <c r="H1736" s="4" t="n">
        <v>130</v>
      </c>
      <c r="I1736" s="5" t="n">
        <v>269.2</v>
      </c>
      <c r="J1736" s="5" t="n">
        <v>44.4</v>
      </c>
      <c r="K1736" s="3" t="inlineStr">
        <is>
          <t>계획관리지역 양어장</t>
        </is>
      </c>
      <c r="L1736" s="6">
        <f>HYPERLINK("https://fin.land.naver.com/articles/2654422292", "매물Link")</f>
        <v/>
      </c>
      <c r="M1736" s="6">
        <f>HYPERLINK("https://map.naver.com/p/search/연서면 기룡리 52-6", "지도Link")</f>
        <v/>
      </c>
      <c r="N1736" s="6">
        <f>HYPERLINK("http://www.eum.go.kr/web/ar/lu/luLandDet.jsp?pnu=3611036028100520006&amp;isNoScr=script&amp;mode=search", "토지이음")</f>
        <v/>
      </c>
      <c r="O1736" s="3" t="inlineStr">
        <is>
          <t>그래그</t>
        </is>
      </c>
      <c r="P1736" s="4" t="n">
        <v>1</v>
      </c>
      <c r="Q1736" s="4" t="n">
        <v>430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연서면 기룡리 526-2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20000</v>
      </c>
      <c r="G1737" s="4" t="n">
        <v>1486</v>
      </c>
      <c r="H1737" s="4" t="n">
        <v>450</v>
      </c>
      <c r="I1737" s="5" t="n">
        <v>44.4</v>
      </c>
      <c r="J1737" s="5" t="n">
        <v>28.9</v>
      </c>
      <c r="K1737" s="3" t="inlineStr">
        <is>
          <t>관리지역 토지가격조율가능</t>
        </is>
      </c>
      <c r="L1737" s="6">
        <f>HYPERLINK("https://fin.land.naver.com/articles/2655169374", "매물Link")</f>
        <v/>
      </c>
      <c r="M1737" s="6">
        <f>HYPERLINK("https://map.naver.com/p/search/연서면 기룡리 526-2", "지도Link")</f>
        <v/>
      </c>
      <c r="N1737" s="6">
        <f>HYPERLINK("http://www.eum.go.kr/web/ar/lu/luLandDet.jsp?pnu=3611036028105260002&amp;isNoScr=script&amp;mode=search", "토지이음")</f>
        <v/>
      </c>
      <c r="O1737" s="3" t="inlineStr">
        <is>
          <t>세종대박</t>
        </is>
      </c>
      <c r="P1737" s="4" t="n">
        <v>2</v>
      </c>
      <c r="Q1737" s="4" t="n">
        <v>1486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연서면 기룡리 589-1</t>
        </is>
      </c>
      <c r="B1738" s="3" t="inlineStr">
        <is>
          <t>생산관리지역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39500</v>
      </c>
      <c r="G1738" s="4" t="n">
        <v>1729</v>
      </c>
      <c r="H1738" s="4" t="n">
        <v>523</v>
      </c>
      <c r="I1738" s="5" t="n">
        <v>75.5</v>
      </c>
      <c r="J1738" s="5" t="n">
        <v>29.9</v>
      </c>
      <c r="K1738" s="3" t="inlineStr">
        <is>
          <t>기반 시설이 완비되어 있는 밭 과 농막 기룡리 토지매매</t>
        </is>
      </c>
      <c r="L1738" s="6">
        <f>HYPERLINK("https://fin.land.naver.com/articles/2654589326", "매물Link")</f>
        <v/>
      </c>
      <c r="M1738" s="6">
        <f>HYPERLINK("https://map.naver.com/p/search/연서면 기룡리 589-1", "지도Link")</f>
        <v/>
      </c>
      <c r="N1738" s="6">
        <f>HYPERLINK("http://www.eum.go.kr/web/ar/lu/luLandDet.jsp?pnu=3611036028105890001&amp;isNoScr=script&amp;mode=search",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1729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기룡리 599</t>
        </is>
      </c>
      <c r="B1739" s="3" t="inlineStr">
        <is>
          <t>생산관리지역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30000</v>
      </c>
      <c r="G1739" s="4" t="n">
        <v>1246</v>
      </c>
      <c r="H1739" s="4" t="n">
        <v>377</v>
      </c>
      <c r="I1739" s="5" t="n">
        <v>79.59999999999999</v>
      </c>
      <c r="J1739" s="5" t="n">
        <v>31.2</v>
      </c>
      <c r="K1739" s="3" t="inlineStr">
        <is>
          <t>대전 보건전문대 부지 근거리위치 투자가치좋음</t>
        </is>
      </c>
      <c r="L1739" s="6">
        <f>HYPERLINK("https://fin.land.naver.com/articles/2652730624", "매물Link")</f>
        <v/>
      </c>
      <c r="M1739" s="6">
        <f>HYPERLINK("https://map.naver.com/p/search/연서면 기룡리 599", "지도Link")</f>
        <v/>
      </c>
      <c r="N1739" s="6">
        <f>HYPERLINK("http://www.eum.go.kr/web/ar/lu/luLandDet.jsp?pnu=3611036028105990000&amp;isNoScr=script&amp;mode=search", "토지이음")</f>
        <v/>
      </c>
      <c r="O1739" s="3" t="inlineStr">
        <is>
          <t>대박</t>
        </is>
      </c>
      <c r="P1739" s="4" t="n">
        <v>1</v>
      </c>
      <c r="Q1739" s="4" t="n">
        <v>1246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609-1</t>
        </is>
      </c>
      <c r="B1740" s="3" t="inlineStr">
        <is>
          <t>생산관리지역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49000</v>
      </c>
      <c r="G1740" s="4" t="n">
        <v>1808</v>
      </c>
      <c r="H1740" s="4" t="n">
        <v>547</v>
      </c>
      <c r="I1740" s="5" t="n">
        <v>89.59999999999999</v>
      </c>
      <c r="J1740" s="5" t="n">
        <v>31.2</v>
      </c>
      <c r="K1740" s="3" t="inlineStr">
        <is>
          <t>기룡리 전망 좋고 공기 맑은 세컨하우스나 주말쉼터로 투자추천.</t>
        </is>
      </c>
      <c r="L1740" s="6">
        <f>HYPERLINK("https://fin.land.naver.com/articles/2655088639", "매물Link")</f>
        <v/>
      </c>
      <c r="M1740" s="6">
        <f>HYPERLINK("https://map.naver.com/p/search/연서면 기룡리 609-1", "지도Link")</f>
        <v/>
      </c>
      <c r="N1740" s="6">
        <f>HYPERLINK("http://www.eum.go.kr/web/ar/lu/luLandDet.jsp?pnu=3611036028106090001&amp;isNoScr=script&amp;mode=search",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1808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639-1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대</t>
        </is>
      </c>
      <c r="E1741" s="3" t="inlineStr">
        <is>
          <t>매매</t>
        </is>
      </c>
      <c r="F1741" s="4" t="n">
        <v>19500</v>
      </c>
      <c r="G1741" s="4" t="n">
        <v>483</v>
      </c>
      <c r="H1741" s="4" t="n">
        <v>146</v>
      </c>
      <c r="I1741" s="5" t="n">
        <v>133.6</v>
      </c>
      <c r="J1741" s="5" t="n">
        <v>40.6</v>
      </c>
      <c r="K1741" s="3" t="inlineStr">
        <is>
          <t>급매, 추천 전원주택부지, 도로접한 계획관리지역, 국가스마트산단 인근</t>
        </is>
      </c>
      <c r="L1741" s="6">
        <f>HYPERLINK("https://fin.land.naver.com/articles/2656075934", "매물Link")</f>
        <v/>
      </c>
      <c r="M1741" s="6">
        <f>HYPERLINK("https://map.naver.com/p/search/연서면 기룡리 639-1", "지도Link")</f>
        <v/>
      </c>
      <c r="N1741" s="6">
        <f>HYPERLINK("http://www.eum.go.kr/web/ar/lu/luLandDet.jsp?pnu=3611036028106390001&amp;isNoScr=script&amp;mode=search", "토지이음")</f>
        <v/>
      </c>
      <c r="O1741" s="3" t="inlineStr">
        <is>
          <t>온뜰</t>
        </is>
      </c>
      <c r="P1741" s="4" t="n">
        <v>1</v>
      </c>
      <c r="Q1741" s="4" t="n">
        <v>119</v>
      </c>
      <c r="R1741" s="3" t="inlineStr">
        <is>
          <t>농림지역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651-5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19500</v>
      </c>
      <c r="G1742" s="4" t="n">
        <v>483</v>
      </c>
      <c r="H1742" s="4" t="n">
        <v>146</v>
      </c>
      <c r="I1742" s="5" t="n">
        <v>133.6</v>
      </c>
      <c r="J1742" s="5" t="n">
        <v>66.7</v>
      </c>
      <c r="K1742" s="3" t="inlineStr">
        <is>
          <t>도로 접한 토지 급매 l  전원주택, 캠핑카등 활용도 높은 토지</t>
        </is>
      </c>
      <c r="L1742" s="6">
        <f>HYPERLINK("https://fin.land.naver.com/articles/2655221143", "매물Link")</f>
        <v/>
      </c>
      <c r="M1742" s="6">
        <f>HYPERLINK("https://map.naver.com/p/search/연서면 기룡리 651-5", "지도Link")</f>
        <v/>
      </c>
      <c r="N1742" s="6">
        <f>HYPERLINK("http://www.eum.go.kr/web/ar/lu/luLandDet.jsp?pnu=3611036028106510005&amp;isNoScr=script&amp;mode=search", "토지이음")</f>
        <v/>
      </c>
      <c r="O1742" s="3" t="inlineStr">
        <is>
          <t>문은진</t>
        </is>
      </c>
      <c r="P1742" s="4" t="n">
        <v>1</v>
      </c>
      <c r="Q1742" s="4" t="n">
        <v>364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651-5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66.7</v>
      </c>
      <c r="K1743" s="3" t="inlineStr">
        <is>
          <t>nan</t>
        </is>
      </c>
      <c r="L1743" s="6">
        <f>HYPERLINK("https://fin.land.naver.com/articles/2655596322", "매물Link")</f>
        <v/>
      </c>
      <c r="M1743" s="6">
        <f>HYPERLINK("https://map.naver.com/p/search/연서면 기룡리 651-5", "지도Link")</f>
        <v/>
      </c>
      <c r="N1743" s="6">
        <f>HYPERLINK("http://www.eum.go.kr/web/ar/lu/luLandDet.jsp?pnu=3611036028106510005&amp;isNoScr=script&amp;mode=search", "토지이음")</f>
        <v/>
      </c>
      <c r="O1743" s="3" t="inlineStr">
        <is>
          <t>조아</t>
        </is>
      </c>
      <c r="P1743" s="4" t="n">
        <v>4</v>
      </c>
      <c r="Q1743" s="4" t="n">
        <v>364</v>
      </c>
      <c r="R1743" s="3" t="inlineStr">
        <is>
          <t>지정되지않음</t>
        </is>
      </c>
      <c r="S1743" s="3" t="inlineStr">
        <is>
          <t>단독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483</v>
      </c>
      <c r="H1744" s="4" t="n">
        <v>146</v>
      </c>
      <c r="I1744" s="5" t="n">
        <v>133.6</v>
      </c>
      <c r="J1744" s="5" t="n">
        <v>66.7</v>
      </c>
      <c r="K1744" s="3" t="inlineStr">
        <is>
          <t>급매 세종 산업단지 5분거리, 포장도로 접해 있는 나대지</t>
        </is>
      </c>
      <c r="L1744" s="6">
        <f>HYPERLINK("https://fin.land.naver.com/articles/2656411812",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힐스테이트가장조은</t>
        </is>
      </c>
      <c r="P1744" s="4" t="n">
        <v>4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급매매 계획관리 도로접 건축가능 세종 연서 기룡리</t>
        </is>
      </c>
      <c r="L1745" s="6">
        <f>HYPERLINK("https://fin.land.naver.com/articles/2655741817",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명장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483</v>
      </c>
      <c r="H1746" s="4" t="n">
        <v>146</v>
      </c>
      <c r="I1746" s="5" t="n">
        <v>133.6</v>
      </c>
      <c r="J1746" s="5" t="n">
        <v>66.7</v>
      </c>
      <c r="K1746" s="3" t="inlineStr">
        <is>
          <t>전망좋은 전원택지및 다용도,투자적지</t>
        </is>
      </c>
      <c r="L1746" s="6">
        <f>HYPERLINK("https://fin.land.naver.com/articles/2655773496",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행복가득한</t>
        </is>
      </c>
      <c r="P1746" s="4" t="n">
        <v>1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482</v>
      </c>
      <c r="H1747" s="4" t="n">
        <v>146</v>
      </c>
      <c r="I1747" s="5" t="n">
        <v>133.6</v>
      </c>
      <c r="J1747" s="5" t="n">
        <v>66.7</v>
      </c>
      <c r="K1747" s="3" t="inlineStr">
        <is>
          <t>연서면 기룡리 토지 계획관리지역 전원주택등</t>
        </is>
      </c>
      <c r="L1747" s="6">
        <f>HYPERLINK("https://fin.land.naver.com/articles/2652196219",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반석원무소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접근성좋아요,국유지구거및도로접</t>
        </is>
      </c>
      <c r="L1748" s="6">
        <f>HYPERLINK("https://fin.land.naver.com/articles/2654252150",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싱글벙글</t>
        </is>
      </c>
      <c r="P1748" s="4" t="n">
        <v>2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364</v>
      </c>
      <c r="H1749" s="4" t="n">
        <v>110</v>
      </c>
      <c r="I1749" s="5" t="n">
        <v>177.3</v>
      </c>
      <c r="J1749" s="5" t="n">
        <v>66.7</v>
      </c>
      <c r="K1749" s="3" t="inlineStr">
        <is>
          <t>nan</t>
        </is>
      </c>
      <c r="L1749" s="6">
        <f>HYPERLINK("https://fin.land.naver.com/articles/2656183641",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돈방석</t>
        </is>
      </c>
      <c r="P1749" s="4" t="n">
        <v>8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662-1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29000</v>
      </c>
      <c r="G1750" s="4" t="n">
        <v>631</v>
      </c>
      <c r="H1750" s="4" t="n">
        <v>191</v>
      </c>
      <c r="I1750" s="5" t="n">
        <v>151.8</v>
      </c>
      <c r="J1750" s="5" t="n">
        <v>66.7</v>
      </c>
      <c r="K1750" s="3" t="inlineStr">
        <is>
          <t>급매,투자추천,나대지</t>
        </is>
      </c>
      <c r="L1750" s="6">
        <f>HYPERLINK("https://fin.land.naver.com/articles/2654898460", "매물Link")</f>
        <v/>
      </c>
      <c r="M1750" s="6">
        <f>HYPERLINK("https://map.naver.com/p/search/연서면 기룡리 662-1", "지도Link")</f>
        <v/>
      </c>
      <c r="N1750" s="6">
        <f>HYPERLINK("http://www.eum.go.kr/web/ar/lu/luLandDet.jsp?pnu=3611036028106620001&amp;isNoScr=script&amp;mode=search", "토지이음")</f>
        <v/>
      </c>
      <c r="O1750" s="3" t="inlineStr">
        <is>
          <t>다산</t>
        </is>
      </c>
      <c r="P1750" s="4" t="n">
        <v>1</v>
      </c>
      <c r="Q1750" s="4" t="n">
        <v>631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662-1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29000</v>
      </c>
      <c r="G1751" s="4" t="n">
        <v>631</v>
      </c>
      <c r="H1751" s="4" t="n">
        <v>191</v>
      </c>
      <c r="I1751" s="5" t="n">
        <v>151.8</v>
      </c>
      <c r="J1751" s="5" t="n">
        <v>66.7</v>
      </c>
      <c r="K1751" s="3" t="inlineStr">
        <is>
          <t>작은 텃밭 건축가능한 대지</t>
        </is>
      </c>
      <c r="L1751" s="6">
        <f>HYPERLINK("https://fin.land.naver.com/articles/2651272476", "매물Link")</f>
        <v/>
      </c>
      <c r="M1751" s="6">
        <f>HYPERLINK("https://map.naver.com/p/search/연서면 기룡리 662-1", "지도Link")</f>
        <v/>
      </c>
      <c r="N1751" s="6">
        <f>HYPERLINK("http://www.eum.go.kr/web/ar/lu/luLandDet.jsp?pnu=3611036028106620001&amp;isNoScr=script&amp;mode=search", "토지이음")</f>
        <v/>
      </c>
      <c r="O1751" s="3" t="inlineStr">
        <is>
          <t>지성</t>
        </is>
      </c>
      <c r="P1751" s="4" t="n">
        <v>1</v>
      </c>
      <c r="Q1751" s="4" t="n">
        <v>631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692-1</t>
        </is>
      </c>
      <c r="B1752" s="3" t="inlineStr">
        <is>
          <t>생산관리지역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13000</v>
      </c>
      <c r="G1752" s="4" t="n">
        <v>506</v>
      </c>
      <c r="H1752" s="4" t="n">
        <v>153</v>
      </c>
      <c r="I1752" s="5" t="n">
        <v>85</v>
      </c>
      <c r="J1752" s="5" t="n">
        <v>32.1</v>
      </c>
      <c r="K1752" s="3" t="inlineStr">
        <is>
          <t>급매, 협의,절충, 도로접, 성장관리계획구역 지목이전으로 입지,인프라 굿</t>
        </is>
      </c>
      <c r="L1752" s="6">
        <f>HYPERLINK("https://fin.land.naver.com/articles/2655526027", "매물Link")</f>
        <v/>
      </c>
      <c r="M1752" s="6">
        <f>HYPERLINK("https://map.naver.com/p/search/연서면 기룡리 692-1", "지도Link")</f>
        <v/>
      </c>
      <c r="N1752" s="6">
        <f>HYPERLINK("http://www.eum.go.kr/web/ar/lu/luLandDet.jsp?pnu=3611036028106920001&amp;isNoScr=script&amp;mode=search", "토지이음")</f>
        <v/>
      </c>
      <c r="O1752" s="3" t="inlineStr">
        <is>
          <t>세종한울</t>
        </is>
      </c>
      <c r="P1752" s="4" t="n">
        <v>1</v>
      </c>
      <c r="Q1752" s="4" t="n">
        <v>506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693-5</t>
        </is>
      </c>
      <c r="B1753" s="3" t="inlineStr">
        <is>
          <t>농림지역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30000</v>
      </c>
      <c r="G1753" s="4" t="n">
        <v>1253</v>
      </c>
      <c r="H1753" s="4" t="n">
        <v>379</v>
      </c>
      <c r="I1753" s="5" t="n">
        <v>79.2</v>
      </c>
      <c r="J1753" s="5" t="n">
        <v>15.6</v>
      </c>
      <c r="K1753" s="3" t="inlineStr">
        <is>
          <t>급매, 협의,절충, 도로접, 전, 농림지역으로 입지, 인프라 굿</t>
        </is>
      </c>
      <c r="L1753" s="6">
        <f>HYPERLINK("https://fin.land.naver.com/articles/2655523312", "매물Link")</f>
        <v/>
      </c>
      <c r="M1753" s="6">
        <f>HYPERLINK("https://map.naver.com/p/search/연서면 기룡리 693-5", "지도Link")</f>
        <v/>
      </c>
      <c r="N1753" s="6">
        <f>HYPERLINK("http://www.eum.go.kr/web/ar/lu/luLandDet.jsp?pnu=3611036028106930005&amp;isNoScr=script&amp;mode=search",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1253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기룡리 710-2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38500</v>
      </c>
      <c r="G1754" s="4" t="n">
        <v>2542</v>
      </c>
      <c r="H1754" s="4" t="n">
        <v>769</v>
      </c>
      <c r="I1754" s="5" t="n">
        <v>50.1</v>
      </c>
      <c r="J1754" s="5" t="n">
        <v>24.9</v>
      </c>
      <c r="K1754" s="3" t="inlineStr">
        <is>
          <t>세종시 연서면 기룡리 생산관리지역 답 매매</t>
        </is>
      </c>
      <c r="L1754" s="6">
        <f>HYPERLINK("https://fin.land.naver.com/articles/2655174218", "매물Link")</f>
        <v/>
      </c>
      <c r="M1754" s="6">
        <f>HYPERLINK("https://map.naver.com/p/search/연서면 기룡리 710-2", "지도Link")</f>
        <v/>
      </c>
      <c r="N1754" s="6">
        <f>HYPERLINK("http://www.eum.go.kr/web/ar/lu/luLandDet.jsp?pnu=3611036028107100002&amp;isNoScr=script&amp;mode=search", "토지이음")</f>
        <v/>
      </c>
      <c r="O1754" s="3" t="inlineStr">
        <is>
          <t>하이엔드</t>
        </is>
      </c>
      <c r="P1754" s="4" t="n">
        <v>1</v>
      </c>
      <c r="Q1754" s="4" t="n">
        <v>2542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기룡리 산126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674000</v>
      </c>
      <c r="G1755" s="4" t="n">
        <v>302777</v>
      </c>
      <c r="H1755" s="4" t="n">
        <v>91590</v>
      </c>
      <c r="I1755" s="5" t="n">
        <v>7.4</v>
      </c>
      <c r="J1755" s="5" t="n">
        <v>1.7</v>
      </c>
      <c r="K1755" s="3" t="inlineStr">
        <is>
          <t>연서면 기룡리 농림지역 대형 임야 매매, 국가산업단지, 용암JC 인근</t>
        </is>
      </c>
      <c r="L1755" s="6">
        <f>HYPERLINK("https://fin.land.naver.com/articles/2654028634", "매물Link")</f>
        <v/>
      </c>
      <c r="M1755" s="6">
        <f>HYPERLINK("https://map.naver.com/p/search/연서면 기룡리 산126", "지도Link")</f>
        <v/>
      </c>
      <c r="N1755" s="6">
        <f>HYPERLINK("http://www.eum.go.kr/web/ar/lu/luLandDet.jsp?pnu=3611036028201260000&amp;isNoScr=script&amp;mode=search",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302777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세로한면(불)</t>
        </is>
      </c>
    </row>
    <row r="1756">
      <c r="A1756" s="3" t="inlineStr">
        <is>
          <t>연서면 기룡리 산154-1</t>
        </is>
      </c>
      <c r="B1756" s="3" t="inlineStr">
        <is>
          <t>농림지역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340000</v>
      </c>
      <c r="G1756" s="4" t="n">
        <v>72545</v>
      </c>
      <c r="H1756" s="4" t="n">
        <v>21945</v>
      </c>
      <c r="I1756" s="5" t="n">
        <v>15.5</v>
      </c>
      <c r="J1756" s="5" t="n">
        <v>1.8</v>
      </c>
      <c r="K1756" s="3" t="inlineStr">
        <is>
          <t>nan</t>
        </is>
      </c>
      <c r="L1756" s="6">
        <f>HYPERLINK("https://fin.land.naver.com/articles/2653635817", "매물Link")</f>
        <v/>
      </c>
      <c r="M1756" s="6">
        <f>HYPERLINK("https://map.naver.com/p/search/연서면 기룡리 산154-1", "지도Link")</f>
        <v/>
      </c>
      <c r="N1756" s="6">
        <f>HYPERLINK("http://www.eum.go.kr/web/ar/lu/luLandDet.jsp?pnu=3611036028201540001&amp;isNoScr=script&amp;mode=search", "토지이음")</f>
        <v/>
      </c>
      <c r="O1756" s="3" t="inlineStr">
        <is>
          <t>다온</t>
        </is>
      </c>
      <c r="P1756" s="4" t="n">
        <v>1</v>
      </c>
      <c r="Q1756" s="4" t="n">
        <v>27296</v>
      </c>
      <c r="R1756" s="3" t="inlineStr">
        <is>
          <t>보전관리지역</t>
        </is>
      </c>
      <c r="S1756" s="3" t="inlineStr">
        <is>
          <t>자연림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맹지</t>
        </is>
      </c>
    </row>
    <row r="1757">
      <c r="A1757" s="3" t="inlineStr">
        <is>
          <t>연서면 기룡리 산26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1800</v>
      </c>
      <c r="G1757" s="4" t="n">
        <v>330</v>
      </c>
      <c r="H1757" s="4" t="n">
        <v>100</v>
      </c>
      <c r="I1757" s="5" t="n">
        <v>18</v>
      </c>
      <c r="J1757" s="5" t="n">
        <v>1.7</v>
      </c>
      <c r="K1757" s="3" t="inlineStr">
        <is>
          <t>세종인접. 지분등기된 소액투자용 토지.보전관리 임야</t>
        </is>
      </c>
      <c r="L1757" s="6">
        <f>HYPERLINK("https://fin.land.naver.com/articles/2651284977", "매물Link")</f>
        <v/>
      </c>
      <c r="M1757" s="6">
        <f>HYPERLINK("https://map.naver.com/p/search/연서면 기룡리 산26", "지도Link")</f>
        <v/>
      </c>
      <c r="N1757" s="6">
        <f>HYPERLINK("http://www.eum.go.kr/web/ar/lu/luLandDet.jsp?pnu=3611036028200260000&amp;isNoScr=script&amp;mode=search", "토지이음")</f>
        <v/>
      </c>
      <c r="O1757" s="3" t="inlineStr">
        <is>
          <t>테크노114</t>
        </is>
      </c>
      <c r="P1757" s="4" t="n">
        <v>1</v>
      </c>
      <c r="Q1757" s="4" t="n">
        <v>41653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봉암리 102-8</t>
        </is>
      </c>
      <c r="B1758" s="3" t="inlineStr">
        <is>
          <t>농림지역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70000</v>
      </c>
      <c r="G1758" s="4" t="n">
        <v>17833</v>
      </c>
      <c r="H1758" s="4" t="n">
        <v>5394</v>
      </c>
      <c r="I1758" s="5" t="n">
        <v>13</v>
      </c>
      <c r="J1758" s="5" t="n">
        <v>30.9</v>
      </c>
      <c r="K1758" s="3" t="inlineStr">
        <is>
          <t>인근북세종IC. 창고,공장 건축</t>
        </is>
      </c>
      <c r="L1758" s="6">
        <f>HYPERLINK("https://fin.land.naver.com/articles/2655032803", "매물Link")</f>
        <v/>
      </c>
      <c r="M1758" s="6">
        <f>HYPERLINK("https://map.naver.com/p/search/연서면 봉암리 102-8", "지도Link")</f>
        <v/>
      </c>
      <c r="N1758" s="6">
        <f>HYPERLINK("http://www.eum.go.kr/web/ar/lu/luLandDet.jsp?pnu=3611036033101020008&amp;isNoScr=script&amp;mode=search", "토지이음")</f>
        <v/>
      </c>
      <c r="O1758" s="3" t="inlineStr">
        <is>
          <t>세종대박</t>
        </is>
      </c>
      <c r="P1758" s="4" t="n">
        <v>2</v>
      </c>
      <c r="Q1758" s="4" t="n">
        <v>1783</v>
      </c>
      <c r="R1758" s="3" t="inlineStr">
        <is>
          <t>지정되지않음</t>
        </is>
      </c>
      <c r="S1758" s="3" t="inlineStr">
        <is>
          <t>답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봉암리 1082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전</t>
        </is>
      </c>
      <c r="E1759" s="3" t="inlineStr">
        <is>
          <t>매매</t>
        </is>
      </c>
      <c r="F1759" s="4" t="n">
        <v>36500</v>
      </c>
      <c r="G1759" s="4" t="n">
        <v>916</v>
      </c>
      <c r="H1759" s="4" t="n">
        <v>277</v>
      </c>
      <c r="I1759" s="5" t="n">
        <v>131.8</v>
      </c>
      <c r="J1759" s="5" t="n">
        <v>23.9</v>
      </c>
      <c r="K1759" s="3" t="inlineStr">
        <is>
          <t>추천. 세종 스마트국가산업단지 인근 농지</t>
        </is>
      </c>
      <c r="L1759" s="6">
        <f>HYPERLINK("https://fin.land.naver.com/articles/2651966245", "매물Link")</f>
        <v/>
      </c>
      <c r="M1759" s="6">
        <f>HYPERLINK("https://map.naver.com/p/search/연서면 봉암리 1082", "지도Link")</f>
        <v/>
      </c>
      <c r="N1759" s="6">
        <f>HYPERLINK("http://www.eum.go.kr/web/ar/lu/luLandDet.jsp?pnu=3611036033110820000&amp;isNoScr=script&amp;mode=search", "토지이음")</f>
        <v/>
      </c>
      <c r="O1759" s="3" t="inlineStr">
        <is>
          <t>강아지풀</t>
        </is>
      </c>
      <c r="P1759" s="4" t="n">
        <v>1</v>
      </c>
      <c r="Q1759" s="4" t="n">
        <v>916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봉암리 112-22</t>
        </is>
      </c>
      <c r="B1760" s="3" t="inlineStr">
        <is>
          <t>계획관리지역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25000</v>
      </c>
      <c r="G1760" s="4" t="n">
        <v>459</v>
      </c>
      <c r="H1760" s="4" t="n">
        <v>139</v>
      </c>
      <c r="I1760" s="5" t="n">
        <v>179.9</v>
      </c>
      <c r="J1760" s="5" t="n">
        <v>103.4</v>
      </c>
      <c r="K1760" s="3" t="inlineStr">
        <is>
          <t>급매 계획관리 나대지,단독주택지 추천,남향,버스정류장 도보3분,</t>
        </is>
      </c>
      <c r="L1760" s="6">
        <f>HYPERLINK("https://fin.land.naver.com/articles/2655744418", "매물Link")</f>
        <v/>
      </c>
      <c r="M1760" s="6">
        <f>HYPERLINK("https://map.naver.com/p/search/연서면 봉암리 112-22", "지도Link")</f>
        <v/>
      </c>
      <c r="N1760" s="6">
        <f>HYPERLINK("http://www.eum.go.kr/web/ar/lu/luLandDet.jsp?pnu=3611036033101120022&amp;isNoScr=script&amp;mode=search", "토지이음")</f>
        <v/>
      </c>
      <c r="O1760" s="3" t="inlineStr">
        <is>
          <t>신안무소</t>
        </is>
      </c>
      <c r="P1760" s="4" t="n">
        <v>1</v>
      </c>
      <c r="Q1760" s="4" t="n">
        <v>282</v>
      </c>
      <c r="R1760" s="3" t="inlineStr">
        <is>
          <t>지정되지않음</t>
        </is>
      </c>
      <c r="S1760" s="3" t="inlineStr">
        <is>
          <t>단독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봉암리 214-13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38000</v>
      </c>
      <c r="G1761" s="4" t="n">
        <v>125</v>
      </c>
      <c r="H1761" s="4" t="n">
        <v>38</v>
      </c>
      <c r="I1761" s="5" t="n">
        <v>1000</v>
      </c>
      <c r="J1761" s="5" t="n">
        <v>341.8</v>
      </c>
      <c r="K1761" s="3" t="inlineStr">
        <is>
          <t>봉암리 상가 밀집지역 핵심   대지 매매</t>
        </is>
      </c>
      <c r="L1761" s="6">
        <f>HYPERLINK("https://fin.land.naver.com/articles/2652364695", "매물Link")</f>
        <v/>
      </c>
      <c r="M1761" s="6">
        <f>HYPERLINK("https://map.naver.com/p/search/연서면 봉암리 214-13", "지도Link")</f>
        <v/>
      </c>
      <c r="N1761" s="6">
        <f>HYPERLINK("http://www.eum.go.kr/web/ar/lu/luLandDet.jsp?pnu=3611036033102140013&amp;isNoScr=script&amp;mode=search", "토지이음")</f>
        <v/>
      </c>
      <c r="O1761" s="3" t="inlineStr">
        <is>
          <t>해들삼성</t>
        </is>
      </c>
      <c r="P1761" s="4" t="n">
        <v>2</v>
      </c>
      <c r="Q1761" s="4" t="n">
        <v>125</v>
      </c>
      <c r="R1761" s="3" t="inlineStr">
        <is>
          <t>지정되지않음</t>
        </is>
      </c>
      <c r="S1761" s="3" t="inlineStr">
        <is>
          <t>상업용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연서면 봉암리 230-60</t>
        </is>
      </c>
      <c r="B1762" s="3" t="inlineStr">
        <is>
          <t>계획관리지역</t>
        </is>
      </c>
      <c r="C1762" s="3" t="inlineStr">
        <is>
          <t>전</t>
        </is>
      </c>
      <c r="D1762" s="3" t="inlineStr">
        <is>
          <t>전</t>
        </is>
      </c>
      <c r="E1762" s="3" t="inlineStr">
        <is>
          <t>매매</t>
        </is>
      </c>
      <c r="F1762" s="4" t="n">
        <v>120000</v>
      </c>
      <c r="G1762" s="4" t="n">
        <v>796</v>
      </c>
      <c r="H1762" s="4" t="n">
        <v>241</v>
      </c>
      <c r="I1762" s="5" t="n">
        <v>497.9</v>
      </c>
      <c r="J1762" s="5" t="n">
        <v>88.8</v>
      </c>
      <c r="K1762" s="3" t="inlineStr">
        <is>
          <t>8차선 BRT 도로 근접, 와촌리 국가산단 근교, 세종시의 가장 중심지.</t>
        </is>
      </c>
      <c r="L1762" s="6">
        <f>HYPERLINK("https://fin.land.naver.com/articles/2653349023", "매물Link")</f>
        <v/>
      </c>
      <c r="M1762" s="6">
        <f>HYPERLINK("https://map.naver.com/p/search/연서면 봉암리 230-60", "지도Link")</f>
        <v/>
      </c>
      <c r="N1762" s="6">
        <f>HYPERLINK("http://www.eum.go.kr/web/ar/lu/luLandDet.jsp?pnu=3611036033102300060&amp;isNoScr=script&amp;mode=search", "토지이음")</f>
        <v/>
      </c>
      <c r="O1762" s="3" t="inlineStr">
        <is>
          <t>꿈드림</t>
        </is>
      </c>
      <c r="P1762" s="4" t="n">
        <v>1</v>
      </c>
      <c r="Q1762" s="4" t="n">
        <v>661</v>
      </c>
      <c r="R1762" s="3" t="inlineStr">
        <is>
          <t>지정되지않음</t>
        </is>
      </c>
      <c r="S1762" s="3" t="inlineStr">
        <is>
          <t>전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세로한면(불)</t>
        </is>
      </c>
    </row>
    <row r="1763">
      <c r="A1763" s="3" t="inlineStr">
        <is>
          <t>연서면 봉암리 234-43</t>
        </is>
      </c>
      <c r="B1763" s="3" t="inlineStr">
        <is>
          <t>계획관리지역</t>
        </is>
      </c>
      <c r="C1763" s="3" t="inlineStr">
        <is>
          <t>과수원</t>
        </is>
      </c>
      <c r="D1763" s="3" t="inlineStr">
        <is>
          <t>과수원</t>
        </is>
      </c>
      <c r="E1763" s="3" t="inlineStr">
        <is>
          <t>매매</t>
        </is>
      </c>
      <c r="F1763" s="4" t="n">
        <v>210000</v>
      </c>
      <c r="G1763" s="4" t="n">
        <v>671</v>
      </c>
      <c r="H1763" s="4" t="n">
        <v>203</v>
      </c>
      <c r="I1763" s="5" t="n">
        <v>1034.5</v>
      </c>
      <c r="J1763" s="5" t="n">
        <v>145.8</v>
      </c>
      <c r="K1763" s="3" t="inlineStr">
        <is>
          <t>광고효과최상, 투자효가높은지역 추천</t>
        </is>
      </c>
      <c r="L1763" s="6">
        <f>HYPERLINK("https://fin.land.naver.com/articles/2652647634", "매물Link")</f>
        <v/>
      </c>
      <c r="M1763" s="6">
        <f>HYPERLINK("https://map.naver.com/p/search/연서면 봉암리 234-43", "지도Link")</f>
        <v/>
      </c>
      <c r="N1763" s="6">
        <f>HYPERLINK("http://www.eum.go.kr/web/ar/lu/luLandDet.jsp?pnu=3611036033102340043&amp;isNoScr=script&amp;mode=search", "토지이음")</f>
        <v/>
      </c>
      <c r="O1763" s="3" t="inlineStr">
        <is>
          <t>대박</t>
        </is>
      </c>
      <c r="P1763" s="4" t="n">
        <v>1</v>
      </c>
      <c r="Q1763" s="4" t="n">
        <v>186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245-5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32000</v>
      </c>
      <c r="G1764" s="4" t="n">
        <v>305</v>
      </c>
      <c r="H1764" s="4" t="n">
        <v>92</v>
      </c>
      <c r="I1764" s="5" t="n">
        <v>347.8</v>
      </c>
      <c r="J1764" s="5" t="n">
        <v>125.7</v>
      </c>
      <c r="K1764" s="3" t="inlineStr">
        <is>
          <t>현재 주거나지 상태이며 주택부지로 적합</t>
        </is>
      </c>
      <c r="L1764" s="6">
        <f>HYPERLINK("https://fin.land.naver.com/articles/2651207456", "매물Link")</f>
        <v/>
      </c>
      <c r="M1764" s="6">
        <f>HYPERLINK("https://map.naver.com/p/search/연서면 봉암리 245-5", "지도Link")</f>
        <v/>
      </c>
      <c r="N1764" s="6">
        <f>HYPERLINK("http://www.eum.go.kr/web/ar/lu/luLandDet.jsp?pnu=3611036033102450005&amp;isNoScr=script&amp;mode=search", "토지이음")</f>
        <v/>
      </c>
      <c r="O1764" s="3" t="inlineStr">
        <is>
          <t>엘지에스케이</t>
        </is>
      </c>
      <c r="P1764" s="4" t="n">
        <v>1</v>
      </c>
      <c r="Q1764" s="4" t="n">
        <v>305</v>
      </c>
      <c r="R1764" s="3" t="inlineStr">
        <is>
          <t>지정되지않음</t>
        </is>
      </c>
      <c r="S1764" s="3" t="inlineStr">
        <is>
          <t>단독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세로한면(가)</t>
        </is>
      </c>
    </row>
    <row r="1765">
      <c r="A1765" s="3" t="inlineStr">
        <is>
          <t>연서면 봉암리 348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168000</v>
      </c>
      <c r="G1765" s="4" t="n">
        <v>4830</v>
      </c>
      <c r="H1765" s="4" t="n">
        <v>1461</v>
      </c>
      <c r="I1765" s="5" t="n">
        <v>115</v>
      </c>
      <c r="J1765" s="5" t="n">
        <v>29.8</v>
      </c>
      <c r="K1765" s="3" t="inlineStr">
        <is>
          <t>추천. 세종국가산단 인근 토지</t>
        </is>
      </c>
      <c r="L1765" s="6">
        <f>HYPERLINK("https://fin.land.naver.com/articles/2651912464", "매물Link")</f>
        <v/>
      </c>
      <c r="M1765" s="6">
        <f>HYPERLINK("https://map.naver.com/p/search/연서면 봉암리 348", "지도Link")</f>
        <v/>
      </c>
      <c r="N1765" s="6">
        <f>HYPERLINK("http://www.eum.go.kr/web/ar/lu/luLandDet.jsp?pnu=3611036033103480000&amp;isNoScr=script&amp;mode=search", "토지이음")</f>
        <v/>
      </c>
      <c r="O1765" s="3" t="inlineStr">
        <is>
          <t>강아지풀</t>
        </is>
      </c>
      <c r="P1765" s="4" t="n">
        <v>2</v>
      </c>
      <c r="Q1765" s="4" t="n">
        <v>4830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연서면 봉암리 427-12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78000</v>
      </c>
      <c r="G1766" s="4" t="n">
        <v>569</v>
      </c>
      <c r="H1766" s="4" t="n">
        <v>172</v>
      </c>
      <c r="I1766" s="5" t="n">
        <v>453.5</v>
      </c>
      <c r="J1766" s="5" t="n">
        <v>134</v>
      </c>
      <c r="K1766" s="3" t="inlineStr">
        <is>
          <t>계획관리지역 ,주택있는 대지</t>
        </is>
      </c>
      <c r="L1766" s="6">
        <f>HYPERLINK("https://fin.land.naver.com/articles/2654048732", "매물Link")</f>
        <v/>
      </c>
      <c r="M1766" s="6">
        <f>HYPERLINK("https://map.naver.com/p/search/연서면 봉암리 427-12", "지도Link")</f>
        <v/>
      </c>
      <c r="N1766" s="6">
        <f>HYPERLINK("http://www.eum.go.kr/web/ar/lu/luLandDet.jsp?pnu=3611036033104270012&amp;isNoScr=script&amp;mode=search", "토지이음")</f>
        <v/>
      </c>
      <c r="O1766" s="3" t="inlineStr">
        <is>
          <t>마메종</t>
        </is>
      </c>
      <c r="P1766" s="4" t="n">
        <v>1</v>
      </c>
      <c r="Q1766" s="4" t="n">
        <v>569.8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봉암리 448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13200</v>
      </c>
      <c r="G1767" s="4" t="n">
        <v>132</v>
      </c>
      <c r="H1767" s="4" t="n">
        <v>40</v>
      </c>
      <c r="I1767" s="5" t="n">
        <v>330</v>
      </c>
      <c r="J1767" s="5" t="n">
        <v>122.3</v>
      </c>
      <c r="K1767" s="3" t="inlineStr">
        <is>
          <t>계획관리 2차선도로 인근 작은 텃밭 토지</t>
        </is>
      </c>
      <c r="L1767" s="6">
        <f>HYPERLINK("https://fin.land.naver.com/articles/2656062087", "매물Link")</f>
        <v/>
      </c>
      <c r="M1767" s="6">
        <f>HYPERLINK("https://map.naver.com/p/search/연서면 봉암리 448", "지도Link")</f>
        <v/>
      </c>
      <c r="N1767" s="6">
        <f>HYPERLINK("http://www.eum.go.kr/web/ar/lu/luLandDet.jsp?pnu=3611036033104480000&amp;isNoScr=script&amp;mode=search", "토지이음")</f>
        <v/>
      </c>
      <c r="O1767" s="3" t="inlineStr">
        <is>
          <t>지성</t>
        </is>
      </c>
      <c r="P1767" s="4" t="n">
        <v>1</v>
      </c>
      <c r="Q1767" s="4" t="n">
        <v>132.5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봉암리 45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535400</v>
      </c>
      <c r="G1768" s="4" t="n">
        <v>8848</v>
      </c>
      <c r="H1768" s="4" t="n">
        <v>2677</v>
      </c>
      <c r="I1768" s="5" t="n">
        <v>200</v>
      </c>
      <c r="J1768" s="5" t="n">
        <v>22.7</v>
      </c>
      <c r="K1768" s="3" t="inlineStr">
        <is>
          <t>투자가치 좋은땅, 국도 접해있는 도로, 세종중심조치원 연결도로</t>
        </is>
      </c>
      <c r="L1768" s="6">
        <f>HYPERLINK("https://fin.land.naver.com/articles/2653384354", "매물Link")</f>
        <v/>
      </c>
      <c r="M1768" s="6">
        <f>HYPERLINK("https://map.naver.com/p/search/연서면 봉암리 45", "지도Link")</f>
        <v/>
      </c>
      <c r="N1768" s="6">
        <f>HYPERLINK("http://www.eum.go.kr/web/ar/lu/luLandDet.jsp?pnu=3611036033100450000&amp;isNoScr=script&amp;mode=search", "토지이음")</f>
        <v/>
      </c>
      <c r="O1768" s="3" t="inlineStr">
        <is>
          <t>금백</t>
        </is>
      </c>
      <c r="P1768" s="4" t="n">
        <v>2</v>
      </c>
      <c r="Q1768" s="4" t="n">
        <v>8848</v>
      </c>
      <c r="R1768" s="3" t="inlineStr">
        <is>
          <t>지정되지않음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중로한면</t>
        </is>
      </c>
    </row>
    <row r="1769">
      <c r="A1769" s="3" t="inlineStr">
        <is>
          <t>연서면 봉암리 532-2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197000</v>
      </c>
      <c r="G1769" s="4" t="n">
        <v>1183</v>
      </c>
      <c r="H1769" s="4" t="n">
        <v>358</v>
      </c>
      <c r="I1769" s="5" t="n">
        <v>550.3</v>
      </c>
      <c r="J1769" s="5" t="n">
        <v>99.8</v>
      </c>
      <c r="K1769" s="3" t="inlineStr">
        <is>
          <t>연기사거리 인근 건축 가능한 계획관리지역 투자목적 토지 급매매</t>
        </is>
      </c>
      <c r="L1769" s="6">
        <f>HYPERLINK("https://fin.land.naver.com/articles/2656212320", "매물Link")</f>
        <v/>
      </c>
      <c r="M1769" s="6">
        <f>HYPERLINK("https://map.naver.com/p/search/연서면 봉암리 532-2", "지도Link")</f>
        <v/>
      </c>
      <c r="N1769" s="6">
        <f>HYPERLINK("http://www.eum.go.kr/web/ar/lu/luLandDet.jsp?pnu=3611036033105320002&amp;isNoScr=script&amp;mode=search", "토지이음")</f>
        <v/>
      </c>
      <c r="O1769" s="3" t="inlineStr">
        <is>
          <t>(주)해뜰터</t>
        </is>
      </c>
      <c r="P1769" s="4" t="n">
        <v>1</v>
      </c>
      <c r="Q1769" s="4" t="n">
        <v>1183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세로한면(불)</t>
        </is>
      </c>
    </row>
    <row r="1770">
      <c r="A1770" s="3" t="inlineStr">
        <is>
          <t>연서면 봉암리 604-3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84000</v>
      </c>
      <c r="G1770" s="4" t="n">
        <v>1061</v>
      </c>
      <c r="H1770" s="4" t="n">
        <v>321</v>
      </c>
      <c r="I1770" s="5" t="n">
        <v>261.7</v>
      </c>
      <c r="J1770" s="5" t="n">
        <v>149.2</v>
      </c>
      <c r="K1770" s="3" t="inlineStr">
        <is>
          <t>주거개발진흥지구, 성장관리계획구역,자연취락지구 정방형 급매</t>
        </is>
      </c>
      <c r="L1770" s="6">
        <f>HYPERLINK("https://fin.land.naver.com/articles/2652376241", "매물Link")</f>
        <v/>
      </c>
      <c r="M1770" s="6">
        <f>HYPERLINK("https://map.naver.com/p/search/연서면 봉암리 604-3", "지도Link")</f>
        <v/>
      </c>
      <c r="N1770" s="6">
        <f>HYPERLINK("http://www.eum.go.kr/web/ar/lu/luLandDet.jsp?pnu=3611036033106040003&amp;isNoScr=script&amp;mode=search", "토지이음")</f>
        <v/>
      </c>
      <c r="O1770" s="3" t="inlineStr">
        <is>
          <t>도안재벌</t>
        </is>
      </c>
      <c r="P1770" s="4" t="n">
        <v>1</v>
      </c>
      <c r="Q1770" s="4" t="n">
        <v>1061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세로한면(가)</t>
        </is>
      </c>
    </row>
    <row r="1771">
      <c r="A1771" s="3" t="inlineStr">
        <is>
          <t>연서면 봉암리 620-136</t>
        </is>
      </c>
      <c r="B1771" s="3" t="inlineStr">
        <is>
          <t>계획관리지역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26000</v>
      </c>
      <c r="G1771" s="4" t="n">
        <v>492</v>
      </c>
      <c r="H1771" s="4" t="n">
        <v>149</v>
      </c>
      <c r="I1771" s="5" t="n">
        <v>174.5</v>
      </c>
      <c r="J1771" s="5" t="n">
        <v>113.4</v>
      </c>
      <c r="K1771" s="3" t="inlineStr">
        <is>
          <t>8차선으로 확장된 BRT 도로 근교이며, 세종시의 중심 지역 급매임.</t>
        </is>
      </c>
      <c r="L1771" s="6">
        <f>HYPERLINK("https://fin.land.naver.com/articles/2655436502", "매물Link")</f>
        <v/>
      </c>
      <c r="M1771" s="6">
        <f>HYPERLINK("https://map.naver.com/p/search/연서면 봉암리 620-136", "지도Link")</f>
        <v/>
      </c>
      <c r="N1771" s="6">
        <f>HYPERLINK("http://www.eum.go.kr/web/ar/lu/luLandDet.jsp?pnu=3611036033106200136&amp;isNoScr=script&amp;mode=search", "토지이음")</f>
        <v/>
      </c>
      <c r="O1771" s="3" t="inlineStr">
        <is>
          <t>꿈드림</t>
        </is>
      </c>
      <c r="P1771" s="4" t="n">
        <v>1</v>
      </c>
      <c r="Q1771" s="4" t="n">
        <v>492</v>
      </c>
      <c r="R1771" s="3" t="inlineStr">
        <is>
          <t>지정되지않음</t>
        </is>
      </c>
      <c r="S1771" s="3" t="inlineStr">
        <is>
          <t>전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중로한면</t>
        </is>
      </c>
    </row>
    <row r="1772">
      <c r="A1772" s="3" t="inlineStr">
        <is>
          <t>연서면 봉암리 620-22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524</v>
      </c>
      <c r="H1772" s="4" t="n">
        <v>159</v>
      </c>
      <c r="I1772" s="5" t="n">
        <v>503.1</v>
      </c>
      <c r="J1772" s="5" t="n">
        <v>112.7</v>
      </c>
      <c r="K1772" s="3" t="inlineStr">
        <is>
          <t>8차선으로 확장된 BRT 도로와 2차선변.와촌리국가 산단 중심 근교임.</t>
        </is>
      </c>
      <c r="L1772" s="6">
        <f>HYPERLINK("https://fin.land.naver.com/articles/2653882175", "매물Link")</f>
        <v/>
      </c>
      <c r="M1772" s="6">
        <f>HYPERLINK("https://map.naver.com/p/search/연서면 봉암리 620-22", "지도Link")</f>
        <v/>
      </c>
      <c r="N1772" s="6">
        <f>HYPERLINK("http://www.eum.go.kr/web/ar/lu/luLandDet.jsp?pnu=3611036033106200022&amp;isNoScr=script&amp;mode=search", "토지이음")</f>
        <v/>
      </c>
      <c r="O1772" s="3" t="inlineStr">
        <is>
          <t>꿈드림</t>
        </is>
      </c>
      <c r="P1772" s="4" t="n">
        <v>1</v>
      </c>
      <c r="Q1772" s="4" t="n">
        <v>428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봉암리 676-10</t>
        </is>
      </c>
      <c r="B1773" s="3" t="inlineStr">
        <is>
          <t>계획관리지역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50000</v>
      </c>
      <c r="G1773" s="4" t="n">
        <v>330</v>
      </c>
      <c r="H1773" s="4" t="n">
        <v>100</v>
      </c>
      <c r="I1773" s="5" t="n">
        <v>500</v>
      </c>
      <c r="J1773" s="5" t="n">
        <v>75</v>
      </c>
      <c r="K1773" s="3" t="inlineStr">
        <is>
          <t>세종스마트국가산업단지 근접, 작은 근생용지나창고부지로 적합</t>
        </is>
      </c>
      <c r="L1773" s="6">
        <f>HYPERLINK("https://fin.land.naver.com/articles/2652823552", "매물Link")</f>
        <v/>
      </c>
      <c r="M1773" s="6">
        <f>HYPERLINK("https://map.naver.com/p/search/연서면 봉암리 676-10", "지도Link")</f>
        <v/>
      </c>
      <c r="N1773" s="6">
        <f>HYPERLINK("http://www.eum.go.kr/web/ar/lu/luLandDet.jsp?pnu=3611036033106760010&amp;isNoScr=script&amp;mode=search", "토지이음")</f>
        <v/>
      </c>
      <c r="O1773" s="3" t="inlineStr">
        <is>
          <t>담뜰</t>
        </is>
      </c>
      <c r="P1773" s="4" t="n">
        <v>1</v>
      </c>
      <c r="Q1773" s="4" t="n">
        <v>331</v>
      </c>
      <c r="R1773" s="3" t="inlineStr">
        <is>
          <t>지정되지않음</t>
        </is>
      </c>
      <c r="S1773" s="3" t="inlineStr">
        <is>
          <t>전창고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봉암리 677-2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400000</v>
      </c>
      <c r="G1774" s="4" t="n">
        <v>2202</v>
      </c>
      <c r="H1774" s="4" t="n">
        <v>666</v>
      </c>
      <c r="I1774" s="5" t="n">
        <v>600.6</v>
      </c>
      <c r="J1774" s="5" t="n">
        <v>116.6</v>
      </c>
      <c r="K1774" s="3" t="inlineStr">
        <is>
          <t>세종스마트국가산업단지 근접 도로접근 용이</t>
        </is>
      </c>
      <c r="L1774" s="6">
        <f>HYPERLINK("https://fin.land.naver.com/articles/2652558544", "매물Link")</f>
        <v/>
      </c>
      <c r="M1774" s="6">
        <f>HYPERLINK("https://map.naver.com/p/search/연서면 봉암리 677-2", "지도Link")</f>
        <v/>
      </c>
      <c r="N1774" s="6">
        <f>HYPERLINK("http://www.eum.go.kr/web/ar/lu/luLandDet.jsp?pnu=3611036033106770002&amp;isNoScr=script&amp;mode=search", "토지이음")</f>
        <v/>
      </c>
      <c r="O1774" s="3" t="inlineStr">
        <is>
          <t>오송파라곤리치</t>
        </is>
      </c>
      <c r="P1774" s="4" t="n">
        <v>1</v>
      </c>
      <c r="Q1774" s="4" t="n">
        <v>655</v>
      </c>
      <c r="R1774" s="3" t="inlineStr">
        <is>
          <t>지정되지않음</t>
        </is>
      </c>
      <c r="S1774" s="3" t="inlineStr">
        <is>
          <t>주거기타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봉암리 828</t>
        </is>
      </c>
      <c r="B1775" s="3" t="inlineStr">
        <is>
          <t>농림지역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74000</v>
      </c>
      <c r="G1775" s="4" t="n">
        <v>2023</v>
      </c>
      <c r="H1775" s="4" t="n">
        <v>612</v>
      </c>
      <c r="I1775" s="5" t="n">
        <v>120.9</v>
      </c>
      <c r="J1775" s="5" t="n">
        <v>28.7</v>
      </c>
      <c r="K1775" s="3" t="inlineStr">
        <is>
          <t>추천. 세종국가산단 인근 하우스</t>
        </is>
      </c>
      <c r="L1775" s="6">
        <f>HYPERLINK("https://fin.land.naver.com/articles/2651993764", "매물Link")</f>
        <v/>
      </c>
      <c r="M1775" s="6">
        <f>HYPERLINK("https://map.naver.com/p/search/연서면 봉암리 828", "지도Link")</f>
        <v/>
      </c>
      <c r="N1775" s="6">
        <f>HYPERLINK("http://www.eum.go.kr/web/ar/lu/luLandDet.jsp?pnu=3611036033108280000&amp;isNoScr=script&amp;mode=search", "토지이음")</f>
        <v/>
      </c>
      <c r="O1775" s="3" t="inlineStr">
        <is>
          <t>강아지풀</t>
        </is>
      </c>
      <c r="P1775" s="4" t="n">
        <v>1</v>
      </c>
      <c r="Q1775" s="4" t="n">
        <v>2023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853</t>
        </is>
      </c>
      <c r="B1776" s="3" t="inlineStr">
        <is>
          <t>농림지역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110000</v>
      </c>
      <c r="G1776" s="4" t="n">
        <v>2221</v>
      </c>
      <c r="H1776" s="4" t="n">
        <v>672</v>
      </c>
      <c r="I1776" s="5" t="n">
        <v>163.7</v>
      </c>
      <c r="J1776" s="5" t="n">
        <v>28.7</v>
      </c>
      <c r="K1776" s="3" t="inlineStr">
        <is>
          <t>3m 도로 코너 자리, 주거지에서 직선거리 210m</t>
        </is>
      </c>
      <c r="L1776" s="6">
        <f>HYPERLINK("https://fin.land.naver.com/articles/2652066939", "매물Link")</f>
        <v/>
      </c>
      <c r="M1776" s="6">
        <f>HYPERLINK("https://map.naver.com/p/search/연서면 봉암리 853", "지도Link")</f>
        <v/>
      </c>
      <c r="N1776" s="6">
        <f>HYPERLINK("http://www.eum.go.kr/web/ar/lu/luLandDet.jsp?pnu=3611036033108530000&amp;isNoScr=script&amp;mode=search", "토지이음")</f>
        <v/>
      </c>
      <c r="O1776" s="3" t="inlineStr">
        <is>
          <t>신와촌</t>
        </is>
      </c>
      <c r="P1776" s="4" t="n">
        <v>1</v>
      </c>
      <c r="Q1776" s="4" t="n">
        <v>2221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92-3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52500</v>
      </c>
      <c r="G1777" s="4" t="n">
        <v>1577</v>
      </c>
      <c r="H1777" s="4" t="n">
        <v>477</v>
      </c>
      <c r="I1777" s="5" t="n">
        <v>110.1</v>
      </c>
      <c r="J1777" s="5" t="n">
        <v>31.2</v>
      </c>
      <c r="K1777" s="3" t="inlineStr">
        <is>
          <t>급매. 북세종IC 인근 봉암리 농업보호구역 농지 창고, 공장 추천.</t>
        </is>
      </c>
      <c r="L1777" s="6">
        <f>HYPERLINK("https://fin.land.naver.com/articles/2654555463", "매물Link")</f>
        <v/>
      </c>
      <c r="M1777" s="6">
        <f>HYPERLINK("https://map.naver.com/p/search/연서면 봉암리 92-3", "지도Link")</f>
        <v/>
      </c>
      <c r="N1777" s="6">
        <f>HYPERLINK("http://www.eum.go.kr/web/ar/lu/luLandDet.jsp?pnu=3611036033100920003&amp;isNoScr=script&amp;mode=search", "토지이음")</f>
        <v/>
      </c>
      <c r="O1777" s="3" t="inlineStr">
        <is>
          <t>세종대장</t>
        </is>
      </c>
      <c r="P1777" s="4" t="n">
        <v>1</v>
      </c>
      <c r="Q1777" s="4" t="n">
        <v>1577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947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답</t>
        </is>
      </c>
      <c r="E1778" s="3" t="inlineStr">
        <is>
          <t>매매</t>
        </is>
      </c>
      <c r="F1778" s="4" t="n">
        <v>36400</v>
      </c>
      <c r="G1778" s="4" t="n">
        <v>1094</v>
      </c>
      <c r="H1778" s="4" t="n">
        <v>331</v>
      </c>
      <c r="I1778" s="5" t="n">
        <v>110</v>
      </c>
      <c r="J1778" s="5" t="n">
        <v>27.6</v>
      </c>
      <c r="K1778" s="3" t="inlineStr">
        <is>
          <t>북세종톨게이트 수혜지 봉암리 토지</t>
        </is>
      </c>
      <c r="L1778" s="6">
        <f>HYPERLINK("https://fin.land.naver.com/articles/2656098063", "매물Link")</f>
        <v/>
      </c>
      <c r="M1778" s="6">
        <f>HYPERLINK("https://map.naver.com/p/search/연서면 봉암리 947", "지도Link")</f>
        <v/>
      </c>
      <c r="N1778" s="6">
        <f>HYPERLINK("http://www.eum.go.kr/web/ar/lu/luLandDet.jsp?pnu=3611036033109470000&amp;isNoScr=script&amp;mode=search", "토지이음")</f>
        <v/>
      </c>
      <c r="O1778" s="3" t="inlineStr">
        <is>
          <t>지성</t>
        </is>
      </c>
      <c r="P1778" s="4" t="n">
        <v>2</v>
      </c>
      <c r="Q1778" s="4" t="n">
        <v>1094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봉암리 996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97200</v>
      </c>
      <c r="G1779" s="4" t="n">
        <v>3214</v>
      </c>
      <c r="H1779" s="4" t="n">
        <v>972</v>
      </c>
      <c r="I1779" s="5" t="n">
        <v>100</v>
      </c>
      <c r="J1779" s="5" t="n">
        <v>25.6</v>
      </c>
      <c r="K1779" s="3" t="inlineStr">
        <is>
          <t>세종 연서면 투자용 토지</t>
        </is>
      </c>
      <c r="L1779" s="6">
        <f>HYPERLINK("https://fin.land.naver.com/articles/2651978211", "매물Link")</f>
        <v/>
      </c>
      <c r="M1779" s="6">
        <f>HYPERLINK("https://map.naver.com/p/search/연서면 봉암리 996", "지도Link")</f>
        <v/>
      </c>
      <c r="N1779" s="6">
        <f>HYPERLINK("http://www.eum.go.kr/web/ar/lu/luLandDet.jsp?pnu=3611036033109960000&amp;isNoScr=script&amp;mode=search", "토지이음")</f>
        <v/>
      </c>
      <c r="O1779" s="3" t="inlineStr">
        <is>
          <t>(주)경진컨설팅</t>
        </is>
      </c>
      <c r="P1779" s="4" t="n">
        <v>1</v>
      </c>
      <c r="Q1779" s="4" t="n">
        <v>3214.4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세로한면(불)</t>
        </is>
      </c>
    </row>
    <row r="1780">
      <c r="A1780" s="3" t="inlineStr">
        <is>
          <t>연서면 부동리 108-2</t>
        </is>
      </c>
      <c r="B1780" s="3" t="inlineStr">
        <is>
          <t>계획관리지역</t>
        </is>
      </c>
      <c r="C1780" s="3" t="inlineStr">
        <is>
          <t>도로</t>
        </is>
      </c>
      <c r="D1780" s="3" t="inlineStr">
        <is>
          <t>전</t>
        </is>
      </c>
      <c r="E1780" s="3" t="inlineStr">
        <is>
          <t>매매</t>
        </is>
      </c>
      <c r="F1780" s="4" t="n">
        <v>220000</v>
      </c>
      <c r="G1780" s="4" t="n">
        <v>2943</v>
      </c>
      <c r="H1780" s="4" t="n">
        <v>890</v>
      </c>
      <c r="I1780" s="5" t="n">
        <v>247.2</v>
      </c>
      <c r="J1780" s="5" t="n">
        <v>15.3</v>
      </c>
      <c r="K1780" s="3" t="inlineStr">
        <is>
          <t>세종스마트산단 초인접 계획관리</t>
        </is>
      </c>
      <c r="L1780" s="6">
        <f>HYPERLINK("https://fin.land.naver.com/articles/2651906558", "매물Link")</f>
        <v/>
      </c>
      <c r="M1780" s="6">
        <f>HYPERLINK("https://map.naver.com/p/search/연서면 부동리 108-2", "지도Link")</f>
        <v/>
      </c>
      <c r="N1780" s="6">
        <f>HYPERLINK("http://www.eum.go.kr/web/ar/lu/luLandDet.jsp?pnu=3611036032101080002&amp;isNoScr=script&amp;mode=search", "토지이음")</f>
        <v/>
      </c>
      <c r="O1780" s="3" t="inlineStr">
        <is>
          <t>강아지풀</t>
        </is>
      </c>
      <c r="P1780" s="4" t="n">
        <v>1</v>
      </c>
      <c r="Q1780" s="4" t="n">
        <v>155</v>
      </c>
      <c r="R1780" s="3" t="inlineStr">
        <is>
          <t>지정되지않음</t>
        </is>
      </c>
      <c r="S1780" s="3" t="inlineStr">
        <is>
          <t>도로등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지정되지않음</t>
        </is>
      </c>
    </row>
    <row r="1781">
      <c r="A1781" s="3" t="inlineStr">
        <is>
          <t>연서면 부동리 255-1</t>
        </is>
      </c>
      <c r="B1781" s="3" t="inlineStr">
        <is>
          <t>계획관리지역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280000</v>
      </c>
      <c r="G1781" s="4" t="n">
        <v>2645</v>
      </c>
      <c r="H1781" s="4" t="n">
        <v>800</v>
      </c>
      <c r="I1781" s="5" t="n">
        <v>350</v>
      </c>
      <c r="J1781" s="5" t="n">
        <v>82.59999999999999</v>
      </c>
      <c r="K1781" s="3" t="inlineStr">
        <is>
          <t>도로접한 근생용지,세종국가산업단지와 조치원일반산업단지 근접</t>
        </is>
      </c>
      <c r="L1781" s="6">
        <f>HYPERLINK("https://fin.land.naver.com/articles/2655847581", "매물Link")</f>
        <v/>
      </c>
      <c r="M1781" s="6">
        <f>HYPERLINK("https://map.naver.com/p/search/연서면 부동리 255-1", "지도Link")</f>
        <v/>
      </c>
      <c r="N1781" s="6">
        <f>HYPERLINK("http://www.eum.go.kr/web/ar/lu/luLandDet.jsp?pnu=3611036032102550001&amp;isNoScr=script&amp;mode=search", "토지이음")</f>
        <v/>
      </c>
      <c r="O1781" s="3" t="inlineStr">
        <is>
          <t>세종나라</t>
        </is>
      </c>
      <c r="P1781" s="4" t="n">
        <v>1</v>
      </c>
      <c r="Q1781" s="4" t="n">
        <v>2448</v>
      </c>
      <c r="R1781" s="3" t="inlineStr">
        <is>
          <t>보전관리지역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소로각지</t>
        </is>
      </c>
    </row>
    <row r="1782">
      <c r="A1782" s="3" t="inlineStr">
        <is>
          <t>연서면 부동리 65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138000</v>
      </c>
      <c r="G1782" s="4" t="n">
        <v>1143</v>
      </c>
      <c r="H1782" s="4" t="n">
        <v>346</v>
      </c>
      <c r="I1782" s="5" t="n">
        <v>398.8</v>
      </c>
      <c r="J1782" s="5" t="n">
        <v>55.8</v>
      </c>
      <c r="K1782" s="3" t="inlineStr">
        <is>
          <t>조율가능 국가산단인근 귀한 계획관리 매물</t>
        </is>
      </c>
      <c r="L1782" s="6">
        <f>HYPERLINK("https://fin.land.naver.com/articles/2654855985", "매물Link")</f>
        <v/>
      </c>
      <c r="M1782" s="6">
        <f>HYPERLINK("https://map.naver.com/p/search/연서면 부동리 65", "지도Link")</f>
        <v/>
      </c>
      <c r="N1782" s="6">
        <f>HYPERLINK("http://www.eum.go.kr/web/ar/lu/luLandDet.jsp?pnu=3611036032100650000&amp;isNoScr=script&amp;mode=search", "토지이음")</f>
        <v/>
      </c>
      <c r="O1782" s="3" t="inlineStr">
        <is>
          <t>세종스타</t>
        </is>
      </c>
      <c r="P1782" s="4" t="n">
        <v>1</v>
      </c>
      <c r="Q1782" s="4" t="n">
        <v>1022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부동리 80-2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39000</v>
      </c>
      <c r="G1783" s="4" t="n">
        <v>507</v>
      </c>
      <c r="H1783" s="4" t="n">
        <v>153</v>
      </c>
      <c r="I1783" s="5" t="n">
        <v>254.9</v>
      </c>
      <c r="J1783" s="5" t="n">
        <v>86.40000000000001</v>
      </c>
      <c r="K1783" s="3" t="inlineStr">
        <is>
          <t>국가산단인근,조치원산단인근,세종6생활권인근</t>
        </is>
      </c>
      <c r="L1783" s="6">
        <f>HYPERLINK("https://fin.land.naver.com/articles/2653051996", "매물Link")</f>
        <v/>
      </c>
      <c r="M1783" s="6">
        <f>HYPERLINK("https://map.naver.com/p/search/연서면 부동리 80-2", "지도Link")</f>
        <v/>
      </c>
      <c r="N1783" s="6">
        <f>HYPERLINK("http://www.eum.go.kr/web/ar/lu/luLandDet.jsp?pnu=3611036032100800002&amp;isNoScr=script&amp;mode=search", "토지이음")</f>
        <v/>
      </c>
      <c r="O1783" s="3" t="inlineStr">
        <is>
          <t>세종강남</t>
        </is>
      </c>
      <c r="P1783" s="4" t="n">
        <v>1</v>
      </c>
      <c r="Q1783" s="4" t="n">
        <v>507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성제리 100-1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76500</v>
      </c>
      <c r="G1784" s="4" t="n">
        <v>2970</v>
      </c>
      <c r="H1784" s="4" t="n">
        <v>898</v>
      </c>
      <c r="I1784" s="5" t="n">
        <v>85.2</v>
      </c>
      <c r="J1784" s="5" t="n">
        <v>26.6</v>
      </c>
      <c r="K1784" s="3" t="inlineStr">
        <is>
          <t>연서면 성제리 스마트팜 및 대토, 농업경영체 등록 최적지 추천</t>
        </is>
      </c>
      <c r="L1784" s="6">
        <f>HYPERLINK("https://fin.land.naver.com/articles/2651278989", "매물Link")</f>
        <v/>
      </c>
      <c r="M1784" s="6">
        <f>HYPERLINK("https://map.naver.com/p/search/연서면 성제리 100-1", "지도Link")</f>
        <v/>
      </c>
      <c r="N1784" s="6">
        <f>HYPERLINK("http://www.eum.go.kr/web/ar/lu/luLandDet.jsp?pnu=3611036023101000001&amp;isNoScr=script&amp;mode=search",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2970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세로각지(가)</t>
        </is>
      </c>
    </row>
    <row r="1785">
      <c r="A1785" s="3" t="inlineStr">
        <is>
          <t>연서면 성제리 103-7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25000</v>
      </c>
      <c r="G1785" s="4" t="n">
        <v>1610</v>
      </c>
      <c r="H1785" s="4" t="n">
        <v>487</v>
      </c>
      <c r="I1785" s="5" t="n">
        <v>51.3</v>
      </c>
      <c r="J1785" s="5" t="n">
        <v>25.6</v>
      </c>
      <c r="K1785" s="3" t="inlineStr">
        <is>
          <t>연서면 성제리 농림지역 답</t>
        </is>
      </c>
      <c r="L1785" s="6">
        <f>HYPERLINK("https://fin.land.naver.com/articles/2654010001", "매물Link")</f>
        <v/>
      </c>
      <c r="M1785" s="6">
        <f>HYPERLINK("https://map.naver.com/p/search/연서면 성제리 103-7", "지도Link")</f>
        <v/>
      </c>
      <c r="N1785" s="6">
        <f>HYPERLINK("http://www.eum.go.kr/web/ar/lu/luLandDet.jsp?pnu=3611036023101030007&amp;isNoScr=script&amp;mode=search", "토지이음")</f>
        <v/>
      </c>
      <c r="O1785" s="3" t="inlineStr">
        <is>
          <t>KB세종</t>
        </is>
      </c>
      <c r="P1785" s="4" t="n">
        <v>1</v>
      </c>
      <c r="Q1785" s="4" t="n">
        <v>1610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세로한면(가)</t>
        </is>
      </c>
    </row>
    <row r="1786">
      <c r="A1786" s="3" t="inlineStr">
        <is>
          <t>연서면 성제리 145-14</t>
        </is>
      </c>
      <c r="B1786" s="3" t="inlineStr">
        <is>
          <t>자연녹지지역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205000</v>
      </c>
      <c r="G1786" s="4" t="n">
        <v>2806</v>
      </c>
      <c r="H1786" s="4" t="n">
        <v>849</v>
      </c>
      <c r="I1786" s="5" t="n">
        <v>241.5</v>
      </c>
      <c r="J1786" s="5" t="n">
        <v>56</v>
      </c>
      <c r="K1786" s="3" t="inlineStr">
        <is>
          <t>국가산단인근 도로접한 과수원 매매</t>
        </is>
      </c>
      <c r="L1786" s="6">
        <f>HYPERLINK("https://fin.land.naver.com/articles/2653195485", "매물Link")</f>
        <v/>
      </c>
      <c r="M1786" s="6">
        <f>HYPERLINK("https://map.naver.com/p/search/연서면 성제리 145-14", "지도Link")</f>
        <v/>
      </c>
      <c r="N1786" s="6">
        <f>HYPERLINK("http://www.eum.go.kr/web/ar/lu/luLandDet.jsp?pnu=3611036023101450014&amp;isNoScr=script&amp;mode=search", "토지이음")</f>
        <v/>
      </c>
      <c r="O1786" s="3" t="inlineStr">
        <is>
          <t>THE행복</t>
        </is>
      </c>
      <c r="P1786" s="4" t="n">
        <v>1</v>
      </c>
      <c r="Q1786" s="4" t="n">
        <v>57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세로한면(가)</t>
        </is>
      </c>
    </row>
    <row r="1787">
      <c r="A1787" s="3" t="inlineStr">
        <is>
          <t>연서면 성제리 158-6</t>
        </is>
      </c>
      <c r="B1787" s="3" t="inlineStr">
        <is>
          <t>자연녹지지역</t>
        </is>
      </c>
      <c r="C1787" s="3" t="inlineStr">
        <is>
          <t>창고용지</t>
        </is>
      </c>
      <c r="D1787" s="3" t="inlineStr">
        <is>
          <t>창고용지</t>
        </is>
      </c>
      <c r="E1787" s="3" t="inlineStr">
        <is>
          <t>매매</t>
        </is>
      </c>
      <c r="F1787" s="4" t="n">
        <v>55000</v>
      </c>
      <c r="G1787" s="4" t="n">
        <v>850</v>
      </c>
      <c r="H1787" s="4" t="n">
        <v>257</v>
      </c>
      <c r="I1787" s="5" t="n">
        <v>214</v>
      </c>
      <c r="J1787" s="5" t="n">
        <v>63.8</v>
      </c>
      <c r="K1787" s="3" t="inlineStr">
        <is>
          <t>포장도로에 접해있는 도시지역 자연녹지지역의 농업용창고 66㎡와 전850㎡</t>
        </is>
      </c>
      <c r="L1787" s="6">
        <f>HYPERLINK("https://fin.land.naver.com/articles/2651472582", "매물Link")</f>
        <v/>
      </c>
      <c r="M1787" s="6">
        <f>HYPERLINK("https://map.naver.com/p/search/연서면 성제리 158-6", "지도Link")</f>
        <v/>
      </c>
      <c r="N1787" s="6">
        <f>HYPERLINK("http://www.eum.go.kr/web/ar/lu/luLandDet.jsp?pnu=3611036023101580006&amp;isNoScr=script&amp;mode=search", "토지이음")</f>
        <v/>
      </c>
      <c r="O1787" s="3" t="inlineStr">
        <is>
          <t>스마일세종</t>
        </is>
      </c>
      <c r="P1787" s="4" t="n">
        <v>1</v>
      </c>
      <c r="Q1787" s="4" t="n">
        <v>440</v>
      </c>
      <c r="R1787" s="3" t="inlineStr">
        <is>
          <t>지정되지않음</t>
        </is>
      </c>
      <c r="S1787" s="3" t="inlineStr">
        <is>
          <t>전창고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세로한면(가)</t>
        </is>
      </c>
    </row>
    <row r="1788">
      <c r="A1788" s="3" t="inlineStr">
        <is>
          <t>연서면 성제리 161-2</t>
        </is>
      </c>
      <c r="B1788" s="3" t="inlineStr">
        <is>
          <t>계획관리지역</t>
        </is>
      </c>
      <c r="C1788" s="3" t="inlineStr">
        <is>
          <t>도로</t>
        </is>
      </c>
      <c r="D1788" s="3" t="inlineStr">
        <is>
          <t>답</t>
        </is>
      </c>
      <c r="E1788" s="3" t="inlineStr">
        <is>
          <t>매매</t>
        </is>
      </c>
      <c r="F1788" s="4" t="n">
        <v>48000</v>
      </c>
      <c r="G1788" s="4" t="n">
        <v>1064</v>
      </c>
      <c r="H1788" s="4" t="n">
        <v>322</v>
      </c>
      <c r="I1788" s="5" t="n">
        <v>149.1</v>
      </c>
      <c r="J1788" s="5" t="n">
        <v>15.4</v>
      </c>
      <c r="K1788" s="3" t="inlineStr">
        <is>
          <t>nan</t>
        </is>
      </c>
      <c r="L1788" s="6">
        <f>HYPERLINK("https://fin.land.naver.com/articles/2654013343", "매물Link")</f>
        <v/>
      </c>
      <c r="M1788" s="6">
        <f>HYPERLINK("https://map.naver.com/p/search/연서면 성제리 161-2", "지도Link")</f>
        <v/>
      </c>
      <c r="N1788" s="6">
        <f>HYPERLINK("http://www.eum.go.kr/web/ar/lu/luLandDet.jsp?pnu=3611036023101610002&amp;isNoScr=script&amp;mode=search", "토지이음")</f>
        <v/>
      </c>
      <c r="O1788" s="3" t="inlineStr">
        <is>
          <t>KB세종</t>
        </is>
      </c>
      <c r="P1788" s="4" t="n">
        <v>1</v>
      </c>
      <c r="Q1788" s="4" t="n">
        <v>198</v>
      </c>
      <c r="R1788" s="3" t="inlineStr">
        <is>
          <t>농림지역</t>
        </is>
      </c>
      <c r="S1788" s="3" t="inlineStr">
        <is>
          <t>도로등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지정되지않음</t>
        </is>
      </c>
    </row>
    <row r="1789">
      <c r="A1789" s="3" t="inlineStr">
        <is>
          <t>연서면 성제리 185-3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29000</v>
      </c>
      <c r="G1789" s="4" t="n">
        <v>2130</v>
      </c>
      <c r="H1789" s="4" t="n">
        <v>644</v>
      </c>
      <c r="I1789" s="5" t="n">
        <v>45</v>
      </c>
      <c r="J1789" s="5" t="n">
        <v>27.3</v>
      </c>
      <c r="K1789" s="3" t="inlineStr">
        <is>
          <t>nan</t>
        </is>
      </c>
      <c r="L1789" s="6">
        <f>HYPERLINK("https://fin.land.naver.com/articles/2654013952", "매물Link")</f>
        <v/>
      </c>
      <c r="M1789" s="6">
        <f>HYPERLINK("https://map.naver.com/p/search/연서면 성제리 185-3", "지도Link")</f>
        <v/>
      </c>
      <c r="N1789" s="6">
        <f>HYPERLINK("http://www.eum.go.kr/web/ar/lu/luLandDet.jsp?pnu=3611036023101850003&amp;isNoScr=script&amp;mode=search",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2130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성제리 186-5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80500</v>
      </c>
      <c r="G1790" s="4" t="n">
        <v>2045</v>
      </c>
      <c r="H1790" s="4" t="n">
        <v>619</v>
      </c>
      <c r="I1790" s="5" t="n">
        <v>130</v>
      </c>
      <c r="J1790" s="5" t="n">
        <v>27.3</v>
      </c>
      <c r="K1790" s="3" t="inlineStr">
        <is>
          <t>세종시근접 2차선도로접 토지,향후 개발가능성높은 토지입니다.</t>
        </is>
      </c>
      <c r="L1790" s="6">
        <f>HYPERLINK("https://fin.land.naver.com/articles/2653892163", "매물Link")</f>
        <v/>
      </c>
      <c r="M1790" s="6">
        <f>HYPERLINK("https://map.naver.com/p/search/연서면 성제리 186-5", "지도Link")</f>
        <v/>
      </c>
      <c r="N1790" s="6">
        <f>HYPERLINK("http://www.eum.go.kr/web/ar/lu/luLandDet.jsp?pnu=3611036023101860005&amp;isNoScr=script&amp;mode=search", "토지이음")</f>
        <v/>
      </c>
      <c r="O1790" s="3" t="inlineStr">
        <is>
          <t>담뜰</t>
        </is>
      </c>
      <c r="P1790" s="4" t="n">
        <v>3</v>
      </c>
      <c r="Q1790" s="4" t="n">
        <v>2045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성제리 186-5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200000</v>
      </c>
      <c r="G1791" s="4" t="n">
        <v>5090</v>
      </c>
      <c r="H1791" s="4" t="n">
        <v>1540</v>
      </c>
      <c r="I1791" s="5" t="n">
        <v>129.9</v>
      </c>
      <c r="J1791" s="5" t="n">
        <v>27.3</v>
      </c>
      <c r="K1791" s="3" t="inlineStr">
        <is>
          <t>2차선도로접, 개발호재가 강한지역 투자가치최고</t>
        </is>
      </c>
      <c r="L1791" s="6">
        <f>HYPERLINK("https://fin.land.naver.com/articles/2651043984", "매물Link")</f>
        <v/>
      </c>
      <c r="M1791" s="6">
        <f>HYPERLINK("https://map.naver.com/p/search/연서면 성제리 186-5", "지도Link")</f>
        <v/>
      </c>
      <c r="N1791" s="6">
        <f>HYPERLINK("http://www.eum.go.kr/web/ar/lu/luLandDet.jsp?pnu=3611036023101860005&amp;isNoScr=script&amp;mode=search", "토지이음")</f>
        <v/>
      </c>
      <c r="O1791" s="3" t="inlineStr">
        <is>
          <t>원내</t>
        </is>
      </c>
      <c r="P1791" s="4" t="n">
        <v>2</v>
      </c>
      <c r="Q1791" s="4" t="n">
        <v>2045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세로한면(가)</t>
        </is>
      </c>
    </row>
    <row r="1792">
      <c r="A1792" s="3" t="inlineStr">
        <is>
          <t>연서면 성제리 186-5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80000</v>
      </c>
      <c r="G1792" s="4" t="n">
        <v>2045</v>
      </c>
      <c r="H1792" s="4" t="n">
        <v>619</v>
      </c>
      <c r="I1792" s="5" t="n">
        <v>129.2</v>
      </c>
      <c r="J1792" s="5" t="n">
        <v>27.3</v>
      </c>
      <c r="K1792" s="3" t="inlineStr">
        <is>
          <t>2차선 도로접 북세종IC인근</t>
        </is>
      </c>
      <c r="L1792" s="6">
        <f>HYPERLINK("https://fin.land.naver.com/articles/2656299492", "매물Link")</f>
        <v/>
      </c>
      <c r="M1792" s="6">
        <f>HYPERLINK("https://map.naver.com/p/search/연서면 성제리 186-5", "지도Link")</f>
        <v/>
      </c>
      <c r="N1792" s="6">
        <f>HYPERLINK("http://www.eum.go.kr/web/ar/lu/luLandDet.jsp?pnu=3611036023101860005&amp;isNoScr=script&amp;mode=search", "토지이음")</f>
        <v/>
      </c>
      <c r="O1792" s="3" t="inlineStr">
        <is>
          <t>가치잇는</t>
        </is>
      </c>
      <c r="P1792" s="4" t="n">
        <v>4</v>
      </c>
      <c r="Q1792" s="4" t="n">
        <v>2045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가로장방</t>
        </is>
      </c>
      <c r="V1792" s="3" t="inlineStr">
        <is>
          <t>세로한면(가)</t>
        </is>
      </c>
    </row>
    <row r="1793">
      <c r="A1793" s="3" t="inlineStr">
        <is>
          <t>연서면 성제리 186-6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93000</v>
      </c>
      <c r="G1793" s="4" t="n">
        <v>2045</v>
      </c>
      <c r="H1793" s="4" t="n">
        <v>619</v>
      </c>
      <c r="I1793" s="5" t="n">
        <v>150.2</v>
      </c>
      <c r="J1793" s="5" t="n">
        <v>27.3</v>
      </c>
      <c r="K1793" s="3" t="inlineStr">
        <is>
          <t>2차선 도로변 토지 매매</t>
        </is>
      </c>
      <c r="L1793" s="6">
        <f>HYPERLINK("https://fin.land.naver.com/articles/2653137602", "매물Link")</f>
        <v/>
      </c>
      <c r="M1793" s="6">
        <f>HYPERLINK("https://map.naver.com/p/search/연서면 성제리 186-6", "지도Link")</f>
        <v/>
      </c>
      <c r="N1793" s="6">
        <f>HYPERLINK("http://www.eum.go.kr/web/ar/lu/luLandDet.jsp?pnu=3611036023101860006&amp;isNoScr=script&amp;mode=search", "토지이음")</f>
        <v/>
      </c>
      <c r="O1793" s="3" t="inlineStr">
        <is>
          <t>주식회사넥서스</t>
        </is>
      </c>
      <c r="P1793" s="4" t="n">
        <v>1</v>
      </c>
      <c r="Q1793" s="4" t="n">
        <v>3045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세로한면(가)</t>
        </is>
      </c>
    </row>
    <row r="1794">
      <c r="A1794" s="3" t="inlineStr">
        <is>
          <t>연서면 성제리 186-6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119800</v>
      </c>
      <c r="G1794" s="4" t="n">
        <v>3045</v>
      </c>
      <c r="H1794" s="4" t="n">
        <v>921</v>
      </c>
      <c r="I1794" s="5" t="n">
        <v>130.1</v>
      </c>
      <c r="J1794" s="5" t="n">
        <v>27.3</v>
      </c>
      <c r="K1794" s="3" t="inlineStr">
        <is>
          <t>2차선접 북세종IC예정지 인근</t>
        </is>
      </c>
      <c r="L1794" s="6">
        <f>HYPERLINK("https://fin.land.naver.com/articles/2656299254", "매물Link")</f>
        <v/>
      </c>
      <c r="M1794" s="6">
        <f>HYPERLINK("https://map.naver.com/p/search/연서면 성제리 186-6", "지도Link")</f>
        <v/>
      </c>
      <c r="N1794" s="6">
        <f>HYPERLINK("http://www.eum.go.kr/web/ar/lu/luLandDet.jsp?pnu=3611036023101860006&amp;isNoScr=script&amp;mode=search", "토지이음")</f>
        <v/>
      </c>
      <c r="O1794" s="3" t="inlineStr">
        <is>
          <t>가치잇는</t>
        </is>
      </c>
      <c r="P1794" s="4" t="n">
        <v>3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188-3</t>
        </is>
      </c>
      <c r="B1795" s="3" t="inlineStr">
        <is>
          <t>농림지역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69000</v>
      </c>
      <c r="G1795" s="4" t="n">
        <v>1535</v>
      </c>
      <c r="H1795" s="4" t="n">
        <v>464</v>
      </c>
      <c r="I1795" s="5" t="n">
        <v>148.7</v>
      </c>
      <c r="J1795" s="5" t="n">
        <v>26.8</v>
      </c>
      <c r="K1795" s="3" t="inlineStr">
        <is>
          <t>연서면 성제리 지목이 과수원으로 마을 포장도로에 접해 있어 이용가치 높은</t>
        </is>
      </c>
      <c r="L1795" s="6">
        <f>HYPERLINK("https://fin.land.naver.com/articles/2652408713", "매물Link")</f>
        <v/>
      </c>
      <c r="M1795" s="6">
        <f>HYPERLINK("https://map.naver.com/p/search/연서면 성제리 188-3", "지도Link")</f>
        <v/>
      </c>
      <c r="N1795" s="6">
        <f>HYPERLINK("http://www.eum.go.kr/web/ar/lu/luLandDet.jsp?pnu=3611036023101880003&amp;isNoScr=script&amp;mode=search", "토지이음")</f>
        <v/>
      </c>
      <c r="O1795" s="3" t="inlineStr">
        <is>
          <t>스마일세종</t>
        </is>
      </c>
      <c r="P1795" s="4" t="n">
        <v>1</v>
      </c>
      <c r="Q1795" s="4" t="n">
        <v>1535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190-7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48000</v>
      </c>
      <c r="G1796" s="4" t="n">
        <v>1980</v>
      </c>
      <c r="H1796" s="4" t="n">
        <v>599</v>
      </c>
      <c r="I1796" s="5" t="n">
        <v>80.09999999999999</v>
      </c>
      <c r="J1796" s="5" t="n">
        <v>26.8</v>
      </c>
      <c r="K1796" s="3" t="inlineStr">
        <is>
          <t>포장농로 접한 연서면 평탄 농업용 토지</t>
        </is>
      </c>
      <c r="L1796" s="6">
        <f>HYPERLINK("https://fin.land.naver.com/articles/2653939977", "매물Link")</f>
        <v/>
      </c>
      <c r="M1796" s="6">
        <f>HYPERLINK("https://map.naver.com/p/search/연서면 성제리 190-7", "지도Link")</f>
        <v/>
      </c>
      <c r="N1796" s="6">
        <f>HYPERLINK("http://www.eum.go.kr/web/ar/lu/luLandDet.jsp?pnu=3611036023101900007&amp;isNoScr=script&amp;mode=search", "토지이음")</f>
        <v/>
      </c>
      <c r="O1796" s="3" t="inlineStr">
        <is>
          <t>세종소담황금</t>
        </is>
      </c>
      <c r="P1796" s="4" t="n">
        <v>1</v>
      </c>
      <c r="Q1796" s="4" t="n">
        <v>1980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202-3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54000</v>
      </c>
      <c r="G1797" s="4" t="n">
        <v>1790</v>
      </c>
      <c r="H1797" s="4" t="n">
        <v>541</v>
      </c>
      <c r="I1797" s="5" t="n">
        <v>99.8</v>
      </c>
      <c r="J1797" s="5" t="n">
        <v>25</v>
      </c>
      <c r="K1797" s="3" t="inlineStr">
        <is>
          <t>세종스마트 국가산업단지 인근에 있는 주변시세보다 저렴한 대토용 농지 급매</t>
        </is>
      </c>
      <c r="L1797" s="6">
        <f>HYPERLINK("https://fin.land.naver.com/articles/2654792118", "매물Link")</f>
        <v/>
      </c>
      <c r="M1797" s="6">
        <f>HYPERLINK("https://map.naver.com/p/search/연서면 성제리 202-3", "지도Link")</f>
        <v/>
      </c>
      <c r="N1797" s="6">
        <f>HYPERLINK("http://www.eum.go.kr/web/ar/lu/luLandDet.jsp?pnu=3611036023102020003&amp;isNoScr=script&amp;mode=search", "토지이음")</f>
        <v/>
      </c>
      <c r="O1797" s="3" t="inlineStr">
        <is>
          <t>스마일세종</t>
        </is>
      </c>
      <c r="P1797" s="4" t="n">
        <v>2</v>
      </c>
      <c r="Q1797" s="4" t="n">
        <v>1790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217-1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35000</v>
      </c>
      <c r="G1798" s="4" t="n">
        <v>1430</v>
      </c>
      <c r="H1798" s="4" t="n">
        <v>433</v>
      </c>
      <c r="I1798" s="5" t="n">
        <v>80.8</v>
      </c>
      <c r="J1798" s="5" t="n">
        <v>25.2</v>
      </c>
      <c r="K1798" s="3" t="inlineStr">
        <is>
          <t>도로접한 농지</t>
        </is>
      </c>
      <c r="L1798" s="6">
        <f>HYPERLINK("https://fin.land.naver.com/articles/2650856663", "매물Link")</f>
        <v/>
      </c>
      <c r="M1798" s="6">
        <f>HYPERLINK("https://map.naver.com/p/search/연서면 성제리 217-1", "지도Link")</f>
        <v/>
      </c>
      <c r="N1798" s="6">
        <f>HYPERLINK("http://www.eum.go.kr/web/ar/lu/luLandDet.jsp?pnu=3611036023102170001&amp;isNoScr=script&amp;mode=search", "토지이음")</f>
        <v/>
      </c>
      <c r="O1798" s="3" t="inlineStr">
        <is>
          <t>세종대박</t>
        </is>
      </c>
      <c r="P1798" s="4" t="n">
        <v>1</v>
      </c>
      <c r="Q1798" s="4" t="n">
        <v>1430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성제리 273-5</t>
        </is>
      </c>
      <c r="B1799" s="3" t="inlineStr">
        <is>
          <t>자연녹지지역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180000</v>
      </c>
      <c r="G1799" s="4" t="n">
        <v>1984</v>
      </c>
      <c r="H1799" s="4" t="n">
        <v>600</v>
      </c>
      <c r="I1799" s="5" t="n">
        <v>300</v>
      </c>
      <c r="J1799" s="5" t="n">
        <v>55.9</v>
      </c>
      <c r="K1799" s="3" t="inlineStr">
        <is>
          <t>투자가치 높은 도시지역내 과수원</t>
        </is>
      </c>
      <c r="L1799" s="6">
        <f>HYPERLINK("https://fin.land.naver.com/articles/2655169408", "매물Link")</f>
        <v/>
      </c>
      <c r="M1799" s="6">
        <f>HYPERLINK("https://map.naver.com/p/search/연서면 성제리 273-5", "지도Link")</f>
        <v/>
      </c>
      <c r="N1799" s="6">
        <f>HYPERLINK("http://www.eum.go.kr/web/ar/lu/luLandDet.jsp?pnu=3611036023102730005&amp;isNoScr=script&amp;mode=search", "토지이음")</f>
        <v/>
      </c>
      <c r="O1799" s="3" t="inlineStr">
        <is>
          <t>세종대박</t>
        </is>
      </c>
      <c r="P1799" s="4" t="n">
        <v>1</v>
      </c>
      <c r="Q1799" s="4" t="n">
        <v>1984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성제리 273-6</t>
        </is>
      </c>
      <c r="B1800" s="3" t="inlineStr">
        <is>
          <t>자연녹지지역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180000</v>
      </c>
      <c r="G1800" s="4" t="n">
        <v>1984</v>
      </c>
      <c r="H1800" s="4" t="n">
        <v>600</v>
      </c>
      <c r="I1800" s="5" t="n">
        <v>300</v>
      </c>
      <c r="J1800" s="5" t="n">
        <v>55.9</v>
      </c>
      <c r="K1800" s="3" t="inlineStr">
        <is>
          <t>미래가치 높은 관리 잘된 투자형 과수원</t>
        </is>
      </c>
      <c r="L1800" s="6">
        <f>HYPERLINK("https://fin.land.naver.com/articles/2655600483", "매물Link")</f>
        <v/>
      </c>
      <c r="M1800" s="6">
        <f>HYPERLINK("https://map.naver.com/p/search/연서면 성제리 273-6", "지도Link")</f>
        <v/>
      </c>
      <c r="N1800" s="6">
        <f>HYPERLINK("http://www.eum.go.kr/web/ar/lu/luLandDet.jsp?pnu=3611036023102730006&amp;isNoScr=script&amp;mode=search", "토지이음")</f>
        <v/>
      </c>
      <c r="O1800" s="3" t="inlineStr">
        <is>
          <t>가치잇는</t>
        </is>
      </c>
      <c r="P1800" s="4" t="n">
        <v>1</v>
      </c>
      <c r="Q1800" s="4" t="n">
        <v>1984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성제리 273-9</t>
        </is>
      </c>
      <c r="B1801" s="3" t="inlineStr">
        <is>
          <t>자연녹지지역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10000</v>
      </c>
      <c r="G1801" s="4" t="n">
        <v>330</v>
      </c>
      <c r="H1801" s="4" t="n">
        <v>100</v>
      </c>
      <c r="I1801" s="5" t="n">
        <v>100</v>
      </c>
      <c r="J1801" s="5" t="n">
        <v>39.5</v>
      </c>
      <c r="K1801" s="3" t="inlineStr">
        <is>
          <t>nan</t>
        </is>
      </c>
      <c r="L1801" s="6">
        <f>HYPERLINK("https://fin.land.naver.com/articles/2651153583", "매물Link")</f>
        <v/>
      </c>
      <c r="M1801" s="6">
        <f>HYPERLINK("https://map.naver.com/p/search/연서면 성제리 273-9", "지도Link")</f>
        <v/>
      </c>
      <c r="N1801" s="6">
        <f>HYPERLINK("http://www.eum.go.kr/web/ar/lu/luLandDet.jsp?pnu=3611036023102730009&amp;isNoScr=script&amp;mode=search",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3485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성제리 273-9</t>
        </is>
      </c>
      <c r="B1802" s="3" t="inlineStr">
        <is>
          <t>자연녹지지역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660</v>
      </c>
      <c r="H1802" s="4" t="n">
        <v>200</v>
      </c>
      <c r="I1802" s="5" t="n">
        <v>80</v>
      </c>
      <c r="J1802" s="5" t="n">
        <v>39.5</v>
      </c>
      <c r="K1802" s="3" t="inlineStr">
        <is>
          <t>조치원 공공택지 500미터 자연녹지 급하게 매도</t>
        </is>
      </c>
      <c r="L1802" s="6">
        <f>HYPERLINK("https://fin.land.naver.com/articles/2651011862", "매물Link")</f>
        <v/>
      </c>
      <c r="M1802" s="6">
        <f>HYPERLINK("https://map.naver.com/p/search/연서면 성제리 273-9", "지도Link")</f>
        <v/>
      </c>
      <c r="N1802" s="6">
        <f>HYPERLINK("http://www.eum.go.kr/web/ar/lu/luLandDet.jsp?pnu=3611036023102730009&amp;isNoScr=script&amp;mode=search", "토지이음")</f>
        <v/>
      </c>
      <c r="O1802" s="3" t="inlineStr">
        <is>
          <t>미스터홈즈강남지사</t>
        </is>
      </c>
      <c r="P1802" s="4" t="n">
        <v>1</v>
      </c>
      <c r="Q1802" s="4" t="n">
        <v>3485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급경사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성제리 280-9</t>
        </is>
      </c>
      <c r="B1803" s="3" t="inlineStr">
        <is>
          <t>자연녹지지역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77300</v>
      </c>
      <c r="G1803" s="4" t="n">
        <v>3194</v>
      </c>
      <c r="H1803" s="4" t="n">
        <v>966</v>
      </c>
      <c r="I1803" s="5" t="n">
        <v>80</v>
      </c>
      <c r="J1803" s="5" t="n">
        <v>74.8</v>
      </c>
      <c r="K1803" s="3" t="inlineStr">
        <is>
          <t>행정복지센터 인근 자연녹지 저렴한 토지</t>
        </is>
      </c>
      <c r="L1803" s="6">
        <f>HYPERLINK("https://fin.land.naver.com/articles/2652098500", "매물Link")</f>
        <v/>
      </c>
      <c r="M1803" s="6">
        <f>HYPERLINK("https://map.naver.com/p/search/연서면 성제리 280-9", "지도Link")</f>
        <v/>
      </c>
      <c r="N1803" s="6">
        <f>HYPERLINK("http://www.eum.go.kr/web/ar/lu/luLandDet.jsp?pnu=3611036023102800009&amp;isNoScr=script&amp;mode=search",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2361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성제리 319</t>
        </is>
      </c>
      <c r="B1804" s="3" t="inlineStr">
        <is>
          <t>자연녹지지역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120000</v>
      </c>
      <c r="G1804" s="4" t="n">
        <v>1002</v>
      </c>
      <c r="H1804" s="4" t="n">
        <v>303</v>
      </c>
      <c r="I1804" s="5" t="n">
        <v>396</v>
      </c>
      <c r="J1804" s="5" t="n">
        <v>93.2</v>
      </c>
      <c r="K1804" s="3" t="inlineStr">
        <is>
          <t>연서면사무소 인근 활용도 높은 토지 매매</t>
        </is>
      </c>
      <c r="L1804" s="6">
        <f>HYPERLINK("https://fin.land.naver.com/articles/2655222715", "매물Link")</f>
        <v/>
      </c>
      <c r="M1804" s="6">
        <f>HYPERLINK("https://map.naver.com/p/search/연서면 성제리 319", "지도Link")</f>
        <v/>
      </c>
      <c r="N1804" s="6">
        <f>HYPERLINK("http://www.eum.go.kr/web/ar/lu/luLandDet.jsp?pnu=3611036023103190000&amp;isNoScr=script&amp;mode=search", "토지이음")</f>
        <v/>
      </c>
      <c r="O1804" s="3" t="inlineStr">
        <is>
          <t>원탑</t>
        </is>
      </c>
      <c r="P1804" s="4" t="n">
        <v>1</v>
      </c>
      <c r="Q1804" s="4" t="n">
        <v>809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성제리 346-1</t>
        </is>
      </c>
      <c r="B1805" s="3" t="inlineStr">
        <is>
          <t>자연녹지지역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240000</v>
      </c>
      <c r="G1805" s="4" t="n">
        <v>1430</v>
      </c>
      <c r="H1805" s="4" t="n">
        <v>433</v>
      </c>
      <c r="I1805" s="5" t="n">
        <v>554.3</v>
      </c>
      <c r="J1805" s="5" t="n">
        <v>260.8</v>
      </c>
      <c r="K1805" s="3" t="inlineStr">
        <is>
          <t>토지가 도로 전면에 전부 접해있습니다. 주변 호재 많은 토지</t>
        </is>
      </c>
      <c r="L1805" s="6">
        <f>HYPERLINK("https://fin.land.naver.com/articles/2651572889", "매물Link")</f>
        <v/>
      </c>
      <c r="M1805" s="6">
        <f>HYPERLINK("https://map.naver.com/p/search/연서면 성제리 346-1", "지도Link")</f>
        <v/>
      </c>
      <c r="N1805" s="6">
        <f>HYPERLINK("http://www.eum.go.kr/web/ar/lu/luLandDet.jsp?pnu=3611036023103460001&amp;isNoScr=script&amp;mode=search", "토지이음")</f>
        <v/>
      </c>
      <c r="O1805" s="3" t="inlineStr">
        <is>
          <t>여기로</t>
        </is>
      </c>
      <c r="P1805" s="4" t="n">
        <v>1</v>
      </c>
      <c r="Q1805" s="4" t="n">
        <v>1430</v>
      </c>
      <c r="R1805" s="3" t="inlineStr">
        <is>
          <t>지정되지않음</t>
        </is>
      </c>
      <c r="S1805" s="3" t="inlineStr">
        <is>
          <t>업무용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성제리 429</t>
        </is>
      </c>
      <c r="B1806" s="3" t="inlineStr">
        <is>
          <t>자연녹지지역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73000</v>
      </c>
      <c r="G1806" s="4" t="n">
        <v>959</v>
      </c>
      <c r="H1806" s="4" t="n">
        <v>290</v>
      </c>
      <c r="I1806" s="5" t="n">
        <v>251.7</v>
      </c>
      <c r="J1806" s="5" t="n">
        <v>62.5</v>
      </c>
      <c r="K1806" s="3" t="inlineStr">
        <is>
          <t>2차선 도로 인접 ,용도 변경 가능 미래 투자가치 좋은 금싸라기 땅</t>
        </is>
      </c>
      <c r="L1806" s="6">
        <f>HYPERLINK("https://fin.land.naver.com/articles/2651651826", "매물Link")</f>
        <v/>
      </c>
      <c r="M1806" s="6">
        <f>HYPERLINK("https://map.naver.com/p/search/연서면 성제리 429", "지도Link")</f>
        <v/>
      </c>
      <c r="N1806" s="6">
        <f>HYPERLINK("http://www.eum.go.kr/web/ar/lu/luLandDet.jsp?pnu=3611036023104290000&amp;isNoScr=script&amp;mode=search", "토지이음")</f>
        <v/>
      </c>
      <c r="O1806" s="3" t="inlineStr">
        <is>
          <t>강남뜰</t>
        </is>
      </c>
      <c r="P1806" s="4" t="n">
        <v>1</v>
      </c>
      <c r="Q1806" s="4" t="n">
        <v>959</v>
      </c>
      <c r="R1806" s="3" t="inlineStr">
        <is>
          <t>계획관리지역</t>
        </is>
      </c>
      <c r="S1806" s="3" t="inlineStr">
        <is>
          <t>과수원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세로한면(가)</t>
        </is>
      </c>
    </row>
    <row r="1807">
      <c r="A1807" s="3" t="inlineStr">
        <is>
          <t>연서면 성제리 446</t>
        </is>
      </c>
      <c r="B1807" s="3" t="inlineStr">
        <is>
          <t>자연녹지지역</t>
        </is>
      </c>
      <c r="C1807" s="3" t="inlineStr">
        <is>
          <t>답</t>
        </is>
      </c>
      <c r="D1807" s="3" t="inlineStr">
        <is>
          <t>답</t>
        </is>
      </c>
      <c r="E1807" s="3" t="inlineStr">
        <is>
          <t>매매</t>
        </is>
      </c>
      <c r="F1807" s="4" t="n">
        <v>80000</v>
      </c>
      <c r="G1807" s="4" t="n">
        <v>1087</v>
      </c>
      <c r="H1807" s="4" t="n">
        <v>329</v>
      </c>
      <c r="I1807" s="5" t="n">
        <v>243.2</v>
      </c>
      <c r="J1807" s="5" t="n">
        <v>65.90000000000001</v>
      </c>
      <c r="K1807" s="3" t="inlineStr">
        <is>
          <t>국가산단인근  성장관리계획구역</t>
        </is>
      </c>
      <c r="L1807" s="6">
        <f>HYPERLINK("https://fin.land.naver.com/articles/2654518353", "매물Link")</f>
        <v/>
      </c>
      <c r="M1807" s="6">
        <f>HYPERLINK("https://map.naver.com/p/search/연서면 성제리 446", "지도Link")</f>
        <v/>
      </c>
      <c r="N1807" s="6">
        <f>HYPERLINK("http://www.eum.go.kr/web/ar/lu/luLandDet.jsp?pnu=3611036023104460000&amp;isNoScr=script&amp;mode=search", "토지이음")</f>
        <v/>
      </c>
      <c r="O1807" s="3" t="inlineStr">
        <is>
          <t>THE행복</t>
        </is>
      </c>
      <c r="P1807" s="4" t="n">
        <v>1</v>
      </c>
      <c r="Q1807" s="4" t="n">
        <v>1088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성제리 446</t>
        </is>
      </c>
      <c r="B1808" s="3" t="inlineStr">
        <is>
          <t>자연녹지지역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82250</v>
      </c>
      <c r="G1808" s="4" t="n">
        <v>1087</v>
      </c>
      <c r="H1808" s="4" t="n">
        <v>329</v>
      </c>
      <c r="I1808" s="5" t="n">
        <v>250</v>
      </c>
      <c r="J1808" s="5" t="n">
        <v>65.90000000000001</v>
      </c>
      <c r="K1808" s="3" t="inlineStr">
        <is>
          <t>집짓기 좋은 정방형 토지 매매</t>
        </is>
      </c>
      <c r="L1808" s="6">
        <f>HYPERLINK("https://fin.land.naver.com/articles/2653195395", "매물Link")</f>
        <v/>
      </c>
      <c r="M1808" s="6">
        <f>HYPERLINK("https://map.naver.com/p/search/연서면 성제리 446", "지도Link")</f>
        <v/>
      </c>
      <c r="N1808" s="6">
        <f>HYPERLINK("http://www.eum.go.kr/web/ar/lu/luLandDet.jsp?pnu=3611036023104460000&amp;isNoScr=script&amp;mode=search", "토지이음")</f>
        <v/>
      </c>
      <c r="O1808" s="3" t="inlineStr">
        <is>
          <t>THE행복</t>
        </is>
      </c>
      <c r="P1808" s="4" t="n">
        <v>1</v>
      </c>
      <c r="Q1808" s="4" t="n">
        <v>1088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448-5</t>
        </is>
      </c>
      <c r="B1809" s="3" t="inlineStr">
        <is>
          <t>자연녹지지역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25000</v>
      </c>
      <c r="G1809" s="4" t="n">
        <v>1213</v>
      </c>
      <c r="H1809" s="4" t="n">
        <v>367</v>
      </c>
      <c r="I1809" s="5" t="n">
        <v>68.09999999999999</v>
      </c>
      <c r="J1809" s="5" t="n">
        <v>53.2</v>
      </c>
      <c r="K1809" s="3" t="inlineStr">
        <is>
          <t>국가 산업 단지 근접투자 가치 용 토지</t>
        </is>
      </c>
      <c r="L1809" s="6">
        <f>HYPERLINK("https://fin.land.naver.com/articles/2655627734", "매물Link")</f>
        <v/>
      </c>
      <c r="M1809" s="6">
        <f>HYPERLINK("https://map.naver.com/p/search/연서면 성제리 448-5", "지도Link")</f>
        <v/>
      </c>
      <c r="N1809" s="6">
        <f>HYPERLINK("http://www.eum.go.kr/web/ar/lu/luLandDet.jsp?pnu=3611036023104480005&amp;isNoScr=script&amp;mode=search", "토지이음")</f>
        <v/>
      </c>
      <c r="O1809" s="3" t="inlineStr">
        <is>
          <t>현담</t>
        </is>
      </c>
      <c r="P1809" s="4" t="n">
        <v>1</v>
      </c>
      <c r="Q1809" s="4" t="n">
        <v>1213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452</t>
        </is>
      </c>
      <c r="B1810" s="3" t="inlineStr">
        <is>
          <t>자연녹지지역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54000</v>
      </c>
      <c r="G1810" s="4" t="n">
        <v>1261</v>
      </c>
      <c r="H1810" s="4" t="n">
        <v>381</v>
      </c>
      <c r="I1810" s="5" t="n">
        <v>141.7</v>
      </c>
      <c r="J1810" s="5" t="n">
        <v>62.7</v>
      </c>
      <c r="K1810" s="3" t="inlineStr">
        <is>
          <t>자연취락지구도로접 평탄농지, 전원형 활용 검토 유리</t>
        </is>
      </c>
      <c r="L1810" s="6">
        <f>HYPERLINK("https://fin.land.naver.com/articles/2653942128", "매물Link")</f>
        <v/>
      </c>
      <c r="M1810" s="6">
        <f>HYPERLINK("https://map.naver.com/p/search/연서면 성제리 452", "지도Link")</f>
        <v/>
      </c>
      <c r="N1810" s="6">
        <f>HYPERLINK("http://www.eum.go.kr/web/ar/lu/luLandDet.jsp?pnu=3611036023104520000&amp;isNoScr=script&amp;mode=search", "토지이음")</f>
        <v/>
      </c>
      <c r="O1810" s="3" t="inlineStr">
        <is>
          <t>세종소담황금</t>
        </is>
      </c>
      <c r="P1810" s="4" t="n">
        <v>1</v>
      </c>
      <c r="Q1810" s="4" t="n">
        <v>1261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성제리 455-8</t>
        </is>
      </c>
      <c r="B1811" s="3" t="inlineStr">
        <is>
          <t>계획관리지역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109000</v>
      </c>
      <c r="G1811" s="4" t="n">
        <v>1720</v>
      </c>
      <c r="H1811" s="4" t="n">
        <v>520</v>
      </c>
      <c r="I1811" s="5" t="n">
        <v>209.6</v>
      </c>
      <c r="J1811" s="5" t="n">
        <v>48.9</v>
      </c>
      <c r="K1811" s="3" t="inlineStr">
        <is>
          <t>계획관리 과수원배밭매매</t>
        </is>
      </c>
      <c r="L1811" s="6">
        <f>HYPERLINK("https://fin.land.naver.com/articles/2655032817", "매물Link")</f>
        <v/>
      </c>
      <c r="M1811" s="6">
        <f>HYPERLINK("https://map.naver.com/p/search/연서면 성제리 455-8", "지도Link")</f>
        <v/>
      </c>
      <c r="N1811" s="6">
        <f>HYPERLINK("http://www.eum.go.kr/web/ar/lu/luLandDet.jsp?pnu=3611036023104550008&amp;isNoScr=script&amp;mode=search", "토지이음")</f>
        <v/>
      </c>
      <c r="O1811" s="3" t="inlineStr">
        <is>
          <t>세종대박</t>
        </is>
      </c>
      <c r="P1811" s="4" t="n">
        <v>1</v>
      </c>
      <c r="Q1811" s="4" t="n">
        <v>1720</v>
      </c>
      <c r="R1811" s="3" t="inlineStr">
        <is>
          <t>보전관리지역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성제리 564-3</t>
        </is>
      </c>
      <c r="B1812" s="3" t="inlineStr">
        <is>
          <t>계획관리지역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111700</v>
      </c>
      <c r="G1812" s="4" t="n">
        <v>1320</v>
      </c>
      <c r="H1812" s="4" t="n">
        <v>399</v>
      </c>
      <c r="I1812" s="5" t="n">
        <v>279.9</v>
      </c>
      <c r="J1812" s="5" t="n">
        <v>50.8</v>
      </c>
      <c r="K1812" s="3" t="inlineStr">
        <is>
          <t>세종시 연서면 계획관리 매매.11.1억</t>
        </is>
      </c>
      <c r="L1812" s="6">
        <f>HYPERLINK("https://fin.land.naver.com/articles/2652501553", "매물Link")</f>
        <v/>
      </c>
      <c r="M1812" s="6">
        <f>HYPERLINK("https://map.naver.com/p/search/연서면 성제리 564-3", "지도Link")</f>
        <v/>
      </c>
      <c r="N1812" s="6">
        <f>HYPERLINK("http://www.eum.go.kr/web/ar/lu/luLandDet.jsp?pnu=3611036023105640003&amp;isNoScr=script&amp;mode=search", "토지이음")</f>
        <v/>
      </c>
      <c r="O1812" s="3" t="inlineStr">
        <is>
          <t>동원</t>
        </is>
      </c>
      <c r="P1812" s="4" t="n">
        <v>1</v>
      </c>
      <c r="Q1812" s="4" t="n">
        <v>1320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성제리 586-14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112000</v>
      </c>
      <c r="G1813" s="4" t="n">
        <v>1204</v>
      </c>
      <c r="H1813" s="4" t="n">
        <v>364</v>
      </c>
      <c r="I1813" s="5" t="n">
        <v>307.7</v>
      </c>
      <c r="J1813" s="5" t="n">
        <v>172</v>
      </c>
      <c r="K1813" s="3" t="inlineStr">
        <is>
          <t>3필지일괄매매,현임차인 안고 매매 또는 명도요구시명도기간협의,</t>
        </is>
      </c>
      <c r="L1813" s="6">
        <f>HYPERLINK("https://fin.land.naver.com/articles/2655249388", "매물Link")</f>
        <v/>
      </c>
      <c r="M1813" s="6">
        <f>HYPERLINK("https://map.naver.com/p/search/연서면 성제리 586-14", "지도Link")</f>
        <v/>
      </c>
      <c r="N1813" s="6">
        <f>HYPERLINK("http://www.eum.go.kr/web/ar/lu/luLandDet.jsp?pnu=3611036023105860014&amp;isNoScr=script&amp;mode=search", "토지이음")</f>
        <v/>
      </c>
      <c r="O1813" s="3" t="inlineStr">
        <is>
          <t>담뜰</t>
        </is>
      </c>
      <c r="P1813" s="4" t="n">
        <v>2</v>
      </c>
      <c r="Q1813" s="4" t="n">
        <v>418</v>
      </c>
      <c r="R1813" s="3" t="inlineStr">
        <is>
          <t>지정되지않음</t>
        </is>
      </c>
      <c r="S1813" s="3" t="inlineStr">
        <is>
          <t>주상용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소로각지</t>
        </is>
      </c>
    </row>
    <row r="1814">
      <c r="A1814" s="3" t="inlineStr">
        <is>
          <t>연서면 성제리 586-14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112000</v>
      </c>
      <c r="G1814" s="4" t="n">
        <v>1204</v>
      </c>
      <c r="H1814" s="4" t="n">
        <v>364</v>
      </c>
      <c r="I1814" s="5" t="n">
        <v>307.7</v>
      </c>
      <c r="J1814" s="5" t="n">
        <v>172</v>
      </c>
      <c r="K1814" s="3" t="inlineStr">
        <is>
          <t>상가건물있음,  성제네거리코너10m도로접합 계획관리지역 3필지일괄매매</t>
        </is>
      </c>
      <c r="L1814" s="6">
        <f>HYPERLINK("https://fin.land.naver.com/articles/2654484825", "매물Link")</f>
        <v/>
      </c>
      <c r="M1814" s="6">
        <f>HYPERLINK("https://map.naver.com/p/search/연서면 성제리 586-14", "지도Link")</f>
        <v/>
      </c>
      <c r="N1814" s="6">
        <f>HYPERLINK("http://www.eum.go.kr/web/ar/lu/luLandDet.jsp?pnu=3611036023105860014&amp;isNoScr=script&amp;mode=search", "토지이음")</f>
        <v/>
      </c>
      <c r="O1814" s="3" t="inlineStr">
        <is>
          <t>길음(02-983-0110)</t>
        </is>
      </c>
      <c r="P1814" s="4" t="n">
        <v>1</v>
      </c>
      <c r="Q1814" s="4" t="n">
        <v>418</v>
      </c>
      <c r="R1814" s="3" t="inlineStr">
        <is>
          <t>지정되지않음</t>
        </is>
      </c>
      <c r="S1814" s="3" t="inlineStr">
        <is>
          <t>주상용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소로각지</t>
        </is>
      </c>
    </row>
    <row r="1815">
      <c r="A1815" s="3" t="inlineStr">
        <is>
          <t>연서면 성제리 586-183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95000</v>
      </c>
      <c r="G1815" s="4" t="n">
        <v>661</v>
      </c>
      <c r="H1815" s="4" t="n">
        <v>200</v>
      </c>
      <c r="I1815" s="5" t="n">
        <v>475</v>
      </c>
      <c r="J1815" s="5" t="n">
        <v>58.2</v>
      </c>
      <c r="K1815" s="3" t="inlineStr">
        <is>
          <t>2차선에 접한 귀한 토지.개발호재.지가상승지역.</t>
        </is>
      </c>
      <c r="L1815" s="6">
        <f>HYPERLINK("https://fin.land.naver.com/articles/2652504765", "매물Link")</f>
        <v/>
      </c>
      <c r="M1815" s="6">
        <f>HYPERLINK("https://map.naver.com/p/search/연서면 성제리 586-183", "지도Link")</f>
        <v/>
      </c>
      <c r="N1815" s="6">
        <f>HYPERLINK("http://www.eum.go.kr/web/ar/lu/luLandDet.jsp?pnu=3611036023105860183&amp;isNoScr=script&amp;mode=search", "토지이음")</f>
        <v/>
      </c>
      <c r="O1815" s="3" t="inlineStr">
        <is>
          <t>동원</t>
        </is>
      </c>
      <c r="P1815" s="4" t="n">
        <v>1</v>
      </c>
      <c r="Q1815" s="4" t="n">
        <v>661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연서면 성제리 77-1</t>
        </is>
      </c>
      <c r="B1816" s="3" t="inlineStr">
        <is>
          <t>계획관리지역</t>
        </is>
      </c>
      <c r="C1816" s="3" t="inlineStr">
        <is>
          <t>답</t>
        </is>
      </c>
      <c r="D1816" s="3" t="inlineStr">
        <is>
          <t>답</t>
        </is>
      </c>
      <c r="E1816" s="3" t="inlineStr">
        <is>
          <t>매매</t>
        </is>
      </c>
      <c r="F1816" s="4" t="n">
        <v>310000</v>
      </c>
      <c r="G1816" s="4" t="n">
        <v>5153</v>
      </c>
      <c r="H1816" s="4" t="n">
        <v>1559</v>
      </c>
      <c r="I1816" s="5" t="n">
        <v>198.8</v>
      </c>
      <c r="J1816" s="5" t="n">
        <v>42.9</v>
      </c>
      <c r="K1816" s="3" t="inlineStr">
        <is>
          <t>성제리 도로접한 해 잘들어오는 계획관리 토지</t>
        </is>
      </c>
      <c r="L1816" s="6">
        <f>HYPERLINK("https://fin.land.naver.com/articles/2655073697", "매물Link")</f>
        <v/>
      </c>
      <c r="M1816" s="6">
        <f>HYPERLINK("https://map.naver.com/p/search/연서면 성제리 77-1", "지도Link")</f>
        <v/>
      </c>
      <c r="N1816" s="6">
        <f>HYPERLINK("http://www.eum.go.kr/web/ar/lu/luLandDet.jsp?pnu=3611036023100770001&amp;isNoScr=script&amp;mode=search", "토지이음")</f>
        <v/>
      </c>
      <c r="O1816" s="3" t="inlineStr">
        <is>
          <t>엄지척</t>
        </is>
      </c>
      <c r="P1816" s="4" t="n">
        <v>1</v>
      </c>
      <c r="Q1816" s="4" t="n">
        <v>4760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성제리 산28-1</t>
        </is>
      </c>
      <c r="B1817" s="3" t="inlineStr">
        <is>
          <t>농림지역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215000</v>
      </c>
      <c r="G1817" s="4" t="n">
        <v>40562</v>
      </c>
      <c r="H1817" s="4" t="n">
        <v>12270</v>
      </c>
      <c r="I1817" s="5" t="n">
        <v>17.5</v>
      </c>
      <c r="J1817" s="5" t="n">
        <v>4.7</v>
      </c>
      <c r="K1817" s="3" t="inlineStr">
        <is>
          <t>임야</t>
        </is>
      </c>
      <c r="L1817" s="6">
        <f>HYPERLINK("https://fin.land.naver.com/articles/2653389298", "매물Link")</f>
        <v/>
      </c>
      <c r="M1817" s="6">
        <f>HYPERLINK("https://map.naver.com/p/search/연서면 성제리 산28-1", "지도Link")</f>
        <v/>
      </c>
      <c r="N1817" s="6">
        <f>HYPERLINK("http://www.eum.go.kr/web/ar/lu/luLandDet.jsp?pnu=3611036023200280001&amp;isNoScr=script&amp;mode=search", "토지이음")</f>
        <v/>
      </c>
      <c r="O1817" s="3" t="inlineStr">
        <is>
          <t>다산</t>
        </is>
      </c>
      <c r="P1817" s="4" t="n">
        <v>1</v>
      </c>
      <c r="Q1817" s="4" t="n">
        <v>40562</v>
      </c>
      <c r="R1817" s="3" t="inlineStr">
        <is>
          <t>보전관리지역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성제리 산28-1</t>
        </is>
      </c>
      <c r="B1818" s="3" t="inlineStr">
        <is>
          <t>농림지역</t>
        </is>
      </c>
      <c r="C1818" s="3" t="inlineStr">
        <is>
          <t>임야</t>
        </is>
      </c>
      <c r="D1818" s="3" t="inlineStr">
        <is>
          <t>임야</t>
        </is>
      </c>
      <c r="E1818" s="3" t="inlineStr">
        <is>
          <t>매매</t>
        </is>
      </c>
      <c r="F1818" s="4" t="n">
        <v>215000</v>
      </c>
      <c r="G1818" s="4" t="n">
        <v>40562</v>
      </c>
      <c r="H1818" s="4" t="n">
        <v>12270</v>
      </c>
      <c r="I1818" s="5" t="n">
        <v>17.5</v>
      </c>
      <c r="J1818" s="5" t="n">
        <v>4.7</v>
      </c>
      <c r="K1818" s="3" t="inlineStr">
        <is>
          <t>연서면 성제리 농림지역, 일부 보전관리 임야, 조치원 인근</t>
        </is>
      </c>
      <c r="L1818" s="6">
        <f>HYPERLINK("https://fin.land.naver.com/articles/2654025632", "매물Link")</f>
        <v/>
      </c>
      <c r="M1818" s="6">
        <f>HYPERLINK("https://map.naver.com/p/search/연서면 성제리 산28-1", "지도Link")</f>
        <v/>
      </c>
      <c r="N1818" s="6">
        <f>HYPERLINK("http://www.eum.go.kr/web/ar/lu/luLandDet.jsp?pnu=3611036023200280001&amp;isNoScr=script&amp;mode=search", "토지이음")</f>
        <v/>
      </c>
      <c r="O1818" s="3" t="inlineStr">
        <is>
          <t>스카이</t>
        </is>
      </c>
      <c r="P1818" s="4" t="n">
        <v>1</v>
      </c>
      <c r="Q1818" s="4" t="n">
        <v>40562</v>
      </c>
      <c r="R1818" s="3" t="inlineStr">
        <is>
          <t>보전관리지역</t>
        </is>
      </c>
      <c r="S1818" s="3" t="inlineStr">
        <is>
          <t>자연림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신대리 115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35000</v>
      </c>
      <c r="G1819" s="4" t="n">
        <v>874</v>
      </c>
      <c r="H1819" s="4" t="n">
        <v>264</v>
      </c>
      <c r="I1819" s="5" t="n">
        <v>132.6</v>
      </c>
      <c r="J1819" s="5" t="n">
        <v>91.59999999999999</v>
      </c>
      <c r="K1819" s="3" t="inlineStr">
        <is>
          <t>연서면 신대리 계획관리 대지, 포장도로접, 조치원 국가산단 인근, 저렴</t>
        </is>
      </c>
      <c r="L1819" s="6">
        <f>HYPERLINK("https://fin.land.naver.com/articles/2654027707", "매물Link")</f>
        <v/>
      </c>
      <c r="M1819" s="6">
        <f>HYPERLINK("https://map.naver.com/p/search/연서면 신대리 115", "지도Link")</f>
        <v/>
      </c>
      <c r="N1819" s="6">
        <f>HYPERLINK("http://www.eum.go.kr/web/ar/lu/luLandDet.jsp?pnu=3611036029101150000&amp;isNoScr=script&amp;mode=search", "토지이음")</f>
        <v/>
      </c>
      <c r="O1819" s="3" t="inlineStr">
        <is>
          <t>스카이</t>
        </is>
      </c>
      <c r="P1819" s="4" t="n">
        <v>1</v>
      </c>
      <c r="Q1819" s="4" t="n">
        <v>874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신대리 124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120000</v>
      </c>
      <c r="G1820" s="4" t="n">
        <v>2324</v>
      </c>
      <c r="H1820" s="4" t="n">
        <v>703</v>
      </c>
      <c r="I1820" s="5" t="n">
        <v>170.7</v>
      </c>
      <c r="J1820" s="5" t="n">
        <v>50.2</v>
      </c>
      <c r="K1820" s="3" t="inlineStr">
        <is>
          <t>급매, 대토용, 투자용</t>
        </is>
      </c>
      <c r="L1820" s="6">
        <f>HYPERLINK("https://fin.land.naver.com/articles/2654625622", "매물Link")</f>
        <v/>
      </c>
      <c r="M1820" s="6">
        <f>HYPERLINK("https://map.naver.com/p/search/연서면 신대리 124", "지도Link")</f>
        <v/>
      </c>
      <c r="N1820" s="6">
        <f>HYPERLINK("http://www.eum.go.kr/web/ar/lu/luLandDet.jsp?pnu=3611036029101240000&amp;isNoScr=script&amp;mode=search", "토지이음")</f>
        <v/>
      </c>
      <c r="O1820" s="3" t="inlineStr">
        <is>
          <t>고운동리치세종</t>
        </is>
      </c>
      <c r="P1820" s="4" t="n">
        <v>1</v>
      </c>
      <c r="Q1820" s="4" t="n">
        <v>2324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신대리 192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163000</v>
      </c>
      <c r="G1821" s="4" t="n">
        <v>2569</v>
      </c>
      <c r="H1821" s="4" t="n">
        <v>777</v>
      </c>
      <c r="I1821" s="5" t="n">
        <v>209.8</v>
      </c>
      <c r="J1821" s="5" t="n">
        <v>62</v>
      </c>
      <c r="K1821" s="3" t="inlineStr">
        <is>
          <t>계획관리지역, 성장관리구역, 도로접합, 세종국가산단인근</t>
        </is>
      </c>
      <c r="L1821" s="6">
        <f>HYPERLINK("https://fin.land.naver.com/articles/2656435765", "매물Link")</f>
        <v/>
      </c>
      <c r="M1821" s="6">
        <f>HYPERLINK("https://map.naver.com/p/search/연서면 신대리 192", "지도Link")</f>
        <v/>
      </c>
      <c r="N1821" s="6">
        <f>HYPERLINK("http://www.eum.go.kr/web/ar/lu/luLandDet.jsp?pnu=3611036029101920000&amp;isNoScr=script&amp;mode=search", "토지이음")</f>
        <v/>
      </c>
      <c r="O1821" s="3" t="inlineStr">
        <is>
          <t>세종일조</t>
        </is>
      </c>
      <c r="P1821" s="4" t="n">
        <v>1</v>
      </c>
      <c r="Q1821" s="4" t="n">
        <v>2569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신대리 30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63000</v>
      </c>
      <c r="G1822" s="4" t="n">
        <v>913</v>
      </c>
      <c r="H1822" s="4" t="n">
        <v>276</v>
      </c>
      <c r="I1822" s="5" t="n">
        <v>228.3</v>
      </c>
      <c r="J1822" s="5" t="n">
        <v>73.8</v>
      </c>
      <c r="K1822" s="3" t="inlineStr">
        <is>
          <t>세종산업단지 1km이내 계획관리지역, 자연취락지구 토지매매</t>
        </is>
      </c>
      <c r="L1822" s="6">
        <f>HYPERLINK("https://fin.land.naver.com/articles/2652044665", "매물Link")</f>
        <v/>
      </c>
      <c r="M1822" s="6">
        <f>HYPERLINK("https://map.naver.com/p/search/연서면 신대리 30", "지도Link")</f>
        <v/>
      </c>
      <c r="N1822" s="6">
        <f>HYPERLINK("http://www.eum.go.kr/web/ar/lu/luLandDet.jsp?pnu=3611036029100300000&amp;isNoScr=script&amp;mode=search", "토지이음")</f>
        <v/>
      </c>
      <c r="O1822" s="3" t="inlineStr">
        <is>
          <t>에이스</t>
        </is>
      </c>
      <c r="P1822" s="4" t="n">
        <v>1</v>
      </c>
      <c r="Q1822" s="4" t="n">
        <v>364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신대리 320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45800</v>
      </c>
      <c r="G1823" s="4" t="n">
        <v>2013</v>
      </c>
      <c r="H1823" s="4" t="n">
        <v>609</v>
      </c>
      <c r="I1823" s="5" t="n">
        <v>75.2</v>
      </c>
      <c r="J1823" s="5" t="n">
        <v>23.9</v>
      </c>
      <c r="K1823" s="3" t="inlineStr">
        <is>
          <t>투자하기 좋은 토지</t>
        </is>
      </c>
      <c r="L1823" s="6">
        <f>HYPERLINK("https://fin.land.naver.com/articles/2652686162", "매물Link")</f>
        <v/>
      </c>
      <c r="M1823" s="6">
        <f>HYPERLINK("https://map.naver.com/p/search/연서면 신대리 320", "지도Link")</f>
        <v/>
      </c>
      <c r="N1823" s="6">
        <f>HYPERLINK("http://www.eum.go.kr/web/ar/lu/luLandDet.jsp?pnu=3611036029103200000&amp;isNoScr=script&amp;mode=search", "토지이음")</f>
        <v/>
      </c>
      <c r="O1823" s="3" t="inlineStr">
        <is>
          <t>이로운 사무소</t>
        </is>
      </c>
      <c r="P1823" s="4" t="n">
        <v>1</v>
      </c>
      <c r="Q1823" s="4" t="n">
        <v>2013</v>
      </c>
      <c r="R1823" s="3" t="inlineStr">
        <is>
          <t>지정되지않음</t>
        </is>
      </c>
      <c r="S1823" s="3" t="inlineStr">
        <is>
          <t>답</t>
        </is>
      </c>
      <c r="T1823" s="3" t="inlineStr">
        <is>
          <t>완경사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323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600000</v>
      </c>
      <c r="G1824" s="4" t="n">
        <v>10277</v>
      </c>
      <c r="H1824" s="4" t="n">
        <v>3109</v>
      </c>
      <c r="I1824" s="5" t="n">
        <v>193</v>
      </c>
      <c r="J1824" s="5" t="n">
        <v>22.7</v>
      </c>
      <c r="K1824" s="3" t="inlineStr">
        <is>
          <t>귀한 연서면 토지이며 인접한 3필지 일괄 매매.분할매도가능</t>
        </is>
      </c>
      <c r="L1824" s="6">
        <f>HYPERLINK("https://fin.land.naver.com/articles/2651569592", "매물Link")</f>
        <v/>
      </c>
      <c r="M1824" s="6">
        <f>HYPERLINK("https://map.naver.com/p/search/연서면 신대리 323", "지도Link")</f>
        <v/>
      </c>
      <c r="N1824" s="6">
        <f>HYPERLINK("http://www.eum.go.kr/web/ar/lu/luLandDet.jsp?pnu=3611036029103230000&amp;isNoScr=script&amp;mode=search", "토지이음")</f>
        <v/>
      </c>
      <c r="O1824" s="3" t="inlineStr">
        <is>
          <t>생생</t>
        </is>
      </c>
      <c r="P1824" s="4" t="n">
        <v>1</v>
      </c>
      <c r="Q1824" s="4" t="n">
        <v>2188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327-5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22500</v>
      </c>
      <c r="G1825" s="4" t="n">
        <v>941</v>
      </c>
      <c r="H1825" s="4" t="n">
        <v>285</v>
      </c>
      <c r="I1825" s="5" t="n">
        <v>78.90000000000001</v>
      </c>
      <c r="J1825" s="5" t="n">
        <v>17.8</v>
      </c>
      <c r="K1825" s="3" t="inlineStr">
        <is>
          <t>국가산단예정지 인접,전원생활과 미래가치를 동시에</t>
        </is>
      </c>
      <c r="L1825" s="6">
        <f>HYPERLINK("https://fin.land.naver.com/articles/2654180711", "매물Link")</f>
        <v/>
      </c>
      <c r="M1825" s="6">
        <f>HYPERLINK("https://map.naver.com/p/search/연서면 신대리 327-5", "지도Link")</f>
        <v/>
      </c>
      <c r="N1825" s="6">
        <f>HYPERLINK("http://www.eum.go.kr/web/ar/lu/luLandDet.jsp?pnu=3611036029103270005&amp;isNoScr=script&amp;mode=search", "토지이음")</f>
        <v/>
      </c>
      <c r="O1825" s="3" t="inlineStr">
        <is>
          <t>가치잇는</t>
        </is>
      </c>
      <c r="P1825" s="4" t="n">
        <v>1</v>
      </c>
      <c r="Q1825" s="4" t="n">
        <v>757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신대리 395-10</t>
        </is>
      </c>
      <c r="B1826" s="3" t="inlineStr">
        <is>
          <t>보전관리지역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30000</v>
      </c>
      <c r="G1826" s="4" t="n">
        <v>720</v>
      </c>
      <c r="H1826" s="4" t="n">
        <v>218</v>
      </c>
      <c r="I1826" s="5" t="n">
        <v>137.6</v>
      </c>
      <c r="J1826" s="5" t="n">
        <v>66.59999999999999</v>
      </c>
      <c r="K1826" s="3" t="inlineStr">
        <is>
          <t>고복저수지근처 지목대지 건축 허가 가능.</t>
        </is>
      </c>
      <c r="L1826" s="6">
        <f>HYPERLINK("https://fin.land.naver.com/articles/2650858228", "매물Link")</f>
        <v/>
      </c>
      <c r="M1826" s="6">
        <f>HYPERLINK("https://map.naver.com/p/search/연서면 신대리 395-10", "지도Link")</f>
        <v/>
      </c>
      <c r="N1826" s="6">
        <f>HYPERLINK("http://www.eum.go.kr/web/ar/lu/luLandDet.jsp?pnu=3611036029103950010&amp;isNoScr=script&amp;mode=search", "토지이음")</f>
        <v/>
      </c>
      <c r="O1826" s="3" t="inlineStr">
        <is>
          <t>신한국</t>
        </is>
      </c>
      <c r="P1826" s="4" t="n">
        <v>1</v>
      </c>
      <c r="Q1826" s="4" t="n">
        <v>678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세로한면(가)</t>
        </is>
      </c>
    </row>
    <row r="1827">
      <c r="A1827" s="3" t="inlineStr">
        <is>
          <t>연서면 신대리 395-62</t>
        </is>
      </c>
      <c r="B1827" s="3" t="inlineStr">
        <is>
          <t>보전관리지역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582</v>
      </c>
      <c r="H1827" s="4" t="n">
        <v>176</v>
      </c>
      <c r="I1827" s="5" t="n">
        <v>323.9</v>
      </c>
      <c r="J1827" s="5" t="n">
        <v>66.59999999999999</v>
      </c>
      <c r="K1827" s="3" t="inlineStr">
        <is>
          <t>nan</t>
        </is>
      </c>
      <c r="L1827" s="6">
        <f>HYPERLINK("https://fin.land.naver.com/articles/2655626687", "매물Link")</f>
        <v/>
      </c>
      <c r="M1827" s="6">
        <f>HYPERLINK("https://map.naver.com/p/search/연서면 신대리 395-62", "지도Link")</f>
        <v/>
      </c>
      <c r="N1827" s="6">
        <f>HYPERLINK("http://www.eum.go.kr/web/ar/lu/luLandDet.jsp?pnu=3611036029103950062&amp;isNoScr=script&amp;mode=search", "토지이음")</f>
        <v/>
      </c>
      <c r="O1827" s="3" t="inlineStr">
        <is>
          <t>대한민국</t>
        </is>
      </c>
      <c r="P1827" s="4" t="n">
        <v>2</v>
      </c>
      <c r="Q1827" s="4" t="n">
        <v>582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395-62</t>
        </is>
      </c>
      <c r="B1828" s="3" t="inlineStr">
        <is>
          <t>보전관리지역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57000</v>
      </c>
      <c r="G1828" s="4" t="n">
        <v>582</v>
      </c>
      <c r="H1828" s="4" t="n">
        <v>176</v>
      </c>
      <c r="I1828" s="5" t="n">
        <v>323.9</v>
      </c>
      <c r="J1828" s="5" t="n">
        <v>66.59999999999999</v>
      </c>
      <c r="K1828" s="3" t="inlineStr">
        <is>
          <t>전원주택단지내 전원주택부지</t>
        </is>
      </c>
      <c r="L1828" s="6">
        <f>HYPERLINK("https://fin.land.naver.com/articles/2654424413", "매물Link")</f>
        <v/>
      </c>
      <c r="M1828" s="6">
        <f>HYPERLINK("https://map.naver.com/p/search/연서면 신대리 395-62", "지도Link")</f>
        <v/>
      </c>
      <c r="N1828" s="6">
        <f>HYPERLINK("http://www.eum.go.kr/web/ar/lu/luLandDet.jsp?pnu=3611036029103950062&amp;isNoScr=script&amp;mode=search", "토지이음")</f>
        <v/>
      </c>
      <c r="O1828" s="3" t="inlineStr">
        <is>
          <t>대한민국</t>
        </is>
      </c>
      <c r="P1828" s="4" t="n">
        <v>2</v>
      </c>
      <c r="Q1828" s="4" t="n">
        <v>582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412-25</t>
        </is>
      </c>
      <c r="B1829" s="3" t="inlineStr">
        <is>
          <t>보전관리지역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26000</v>
      </c>
      <c r="G1829" s="4" t="n">
        <v>662</v>
      </c>
      <c r="H1829" s="4" t="n">
        <v>200</v>
      </c>
      <c r="I1829" s="5" t="n">
        <v>130</v>
      </c>
      <c r="J1829" s="5" t="n">
        <v>66.59999999999999</v>
      </c>
      <c r="K1829" s="3" t="inlineStr">
        <is>
          <t>고복저수지근처 로얄빌리지 네모반듯한대지 오수,우수,정화조,수도기반시설완료</t>
        </is>
      </c>
      <c r="L1829" s="6">
        <f>HYPERLINK("https://fin.land.naver.com/articles/2656160718", "매물Link")</f>
        <v/>
      </c>
      <c r="M1829" s="6">
        <f>HYPERLINK("https://map.naver.com/p/search/연서면 신대리 412-25", "지도Link")</f>
        <v/>
      </c>
      <c r="N1829" s="6">
        <f>HYPERLINK("http://www.eum.go.kr/web/ar/lu/luLandDet.jsp?pnu=3611036029104120025&amp;isNoScr=script&amp;mode=search", "토지이음")</f>
        <v/>
      </c>
      <c r="O1829" s="3" t="inlineStr">
        <is>
          <t>담뜰</t>
        </is>
      </c>
      <c r="P1829" s="4" t="n">
        <v>2</v>
      </c>
      <c r="Q1829" s="4" t="n">
        <v>542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신대리 412-25</t>
        </is>
      </c>
      <c r="B1830" s="3" t="inlineStr">
        <is>
          <t>보전관리지역</t>
        </is>
      </c>
      <c r="C1830" s="3" t="inlineStr">
        <is>
          <t>임야</t>
        </is>
      </c>
      <c r="D1830" s="3" t="inlineStr">
        <is>
          <t>대</t>
        </is>
      </c>
      <c r="E1830" s="3" t="inlineStr">
        <is>
          <t>매매</t>
        </is>
      </c>
      <c r="F1830" s="4" t="n">
        <v>22000</v>
      </c>
      <c r="G1830" s="4" t="n">
        <v>542</v>
      </c>
      <c r="H1830" s="4" t="n">
        <v>164</v>
      </c>
      <c r="I1830" s="5" t="n">
        <v>134.1</v>
      </c>
      <c r="J1830" s="5" t="n">
        <v>66.59999999999999</v>
      </c>
      <c r="K1830" s="3" t="inlineStr">
        <is>
          <t>급매 고복저수지근처 로얄빌리지 전원주택지매매</t>
        </is>
      </c>
      <c r="L1830" s="6">
        <f>HYPERLINK("https://fin.land.naver.com/articles/2653986925", "매물Link")</f>
        <v/>
      </c>
      <c r="M1830" s="6">
        <f>HYPERLINK("https://map.naver.com/p/search/연서면 신대리 412-25", "지도Link")</f>
        <v/>
      </c>
      <c r="N1830" s="6">
        <f>HYPERLINK("http://www.eum.go.kr/web/ar/lu/luLandDet.jsp?pnu=3611036029104120025&amp;isNoScr=script&amp;mode=search", "토지이음")</f>
        <v/>
      </c>
      <c r="O1830" s="3" t="inlineStr">
        <is>
          <t>명진</t>
        </is>
      </c>
      <c r="P1830" s="4" t="n">
        <v>1</v>
      </c>
      <c r="Q1830" s="4" t="n">
        <v>542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세로장방</t>
        </is>
      </c>
      <c r="V1830" s="3" t="inlineStr">
        <is>
          <t>세로한면(가)</t>
        </is>
      </c>
    </row>
    <row r="1831">
      <c r="A1831" s="3" t="inlineStr">
        <is>
          <t>연서면 신대리 412-28</t>
        </is>
      </c>
      <c r="B1831" s="3" t="inlineStr">
        <is>
          <t>보전관리지역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27016</v>
      </c>
      <c r="G1831" s="4" t="n">
        <v>687</v>
      </c>
      <c r="H1831" s="4" t="n">
        <v>208</v>
      </c>
      <c r="I1831" s="5" t="n">
        <v>129.9</v>
      </c>
      <c r="J1831" s="5" t="n">
        <v>66.59999999999999</v>
      </c>
      <c r="K1831" s="3" t="inlineStr">
        <is>
          <t>감동의 땅 정말 좋은 땅 가성비 착한 토지 위치  땅모양 괜찮지 않나요</t>
        </is>
      </c>
      <c r="L1831" s="6">
        <f>HYPERLINK("https://fin.land.naver.com/articles/2654324010", "매물Link")</f>
        <v/>
      </c>
      <c r="M1831" s="6">
        <f>HYPERLINK("https://map.naver.com/p/search/연서면 신대리 412-28", "지도Link")</f>
        <v/>
      </c>
      <c r="N1831" s="6">
        <f>HYPERLINK("http://www.eum.go.kr/web/ar/lu/luLandDet.jsp?pnu=3611036029104120028&amp;isNoScr=script&amp;mode=search", "토지이음")</f>
        <v/>
      </c>
      <c r="O1831" s="3" t="inlineStr">
        <is>
          <t>세종시삼성래미안</t>
        </is>
      </c>
      <c r="P1831" s="4" t="n">
        <v>1</v>
      </c>
      <c r="Q1831" s="4" t="n">
        <v>563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412-28</t>
        </is>
      </c>
      <c r="B1832" s="3" t="inlineStr">
        <is>
          <t>보전관리지역</t>
        </is>
      </c>
      <c r="C1832" s="3" t="inlineStr">
        <is>
          <t>임야</t>
        </is>
      </c>
      <c r="D1832" s="3" t="inlineStr">
        <is>
          <t>임야</t>
        </is>
      </c>
      <c r="E1832" s="3" t="inlineStr">
        <is>
          <t>매매</t>
        </is>
      </c>
      <c r="F1832" s="4" t="n">
        <v>24000</v>
      </c>
      <c r="G1832" s="4" t="n">
        <v>563</v>
      </c>
      <c r="H1832" s="4" t="n">
        <v>170</v>
      </c>
      <c r="I1832" s="5" t="n">
        <v>141.2</v>
      </c>
      <c r="J1832" s="5" t="n">
        <v>66.59999999999999</v>
      </c>
      <c r="K1832" s="3" t="inlineStr">
        <is>
          <t>nan</t>
        </is>
      </c>
      <c r="L1832" s="6">
        <f>HYPERLINK("https://fin.land.naver.com/articles/2652378754", "매물Link")</f>
        <v/>
      </c>
      <c r="M1832" s="6">
        <f>HYPERLINK("https://map.naver.com/p/search/연서면 신대리 412-28", "지도Link")</f>
        <v/>
      </c>
      <c r="N1832" s="6">
        <f>HYPERLINK("http://www.eum.go.kr/web/ar/lu/luLandDet.jsp?pnu=3611036029104120028&amp;isNoScr=script&amp;mode=search", "토지이음")</f>
        <v/>
      </c>
      <c r="O1832" s="3" t="inlineStr">
        <is>
          <t>은성</t>
        </is>
      </c>
      <c r="P1832" s="4" t="n">
        <v>1</v>
      </c>
      <c r="Q1832" s="4" t="n">
        <v>563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412-44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34700</v>
      </c>
      <c r="G1833" s="4" t="n">
        <v>637</v>
      </c>
      <c r="H1833" s="4" t="n">
        <v>193</v>
      </c>
      <c r="I1833" s="5" t="n">
        <v>179.8</v>
      </c>
      <c r="J1833" s="5" t="n">
        <v>66.59999999999999</v>
      </c>
      <c r="K1833" s="3" t="inlineStr">
        <is>
          <t>고복저수지 가는길 부근 기반시설 잘 갖춰진 네모반듯한 코너 전원주택지</t>
        </is>
      </c>
      <c r="L1833" s="6">
        <f>HYPERLINK("https://fin.land.naver.com/articles/2652065672", "매물Link")</f>
        <v/>
      </c>
      <c r="M1833" s="6">
        <f>HYPERLINK("https://map.naver.com/p/search/연서면 신대리 412-44", "지도Link")</f>
        <v/>
      </c>
      <c r="N1833" s="6">
        <f>HYPERLINK("http://www.eum.go.kr/web/ar/lu/luLandDet.jsp?pnu=3611036029104120044&amp;isNoScr=script&amp;mode=search", "토지이음")</f>
        <v/>
      </c>
      <c r="O1833" s="3" t="inlineStr">
        <is>
          <t>신와촌</t>
        </is>
      </c>
      <c r="P1833" s="4" t="n">
        <v>1</v>
      </c>
      <c r="Q1833" s="4" t="n">
        <v>523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신대리 454-4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31000</v>
      </c>
      <c r="G1834" s="4" t="n">
        <v>1121</v>
      </c>
      <c r="H1834" s="4" t="n">
        <v>339</v>
      </c>
      <c r="I1834" s="5" t="n">
        <v>91.40000000000001</v>
      </c>
      <c r="J1834" s="5" t="n">
        <v>22.9</v>
      </c>
      <c r="K1834" s="3" t="inlineStr">
        <is>
          <t>고복 저수지와 전원 마을 단지 사이 신대리 토지매매</t>
        </is>
      </c>
      <c r="L1834" s="6">
        <f>HYPERLINK("https://fin.land.naver.com/articles/2651085963", "매물Link")</f>
        <v/>
      </c>
      <c r="M1834" s="6">
        <f>HYPERLINK("https://map.naver.com/p/search/연서면 신대리 454-4", "지도Link")</f>
        <v/>
      </c>
      <c r="N1834" s="6">
        <f>HYPERLINK("http://www.eum.go.kr/web/ar/lu/luLandDet.jsp?pnu=3611036029104540004&amp;isNoScr=script&amp;mode=search",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1121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신대리 454-5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71500</v>
      </c>
      <c r="G1835" s="4" t="n">
        <v>2366</v>
      </c>
      <c r="H1835" s="4" t="n">
        <v>716</v>
      </c>
      <c r="I1835" s="5" t="n">
        <v>99.90000000000001</v>
      </c>
      <c r="J1835" s="5" t="n">
        <v>22.9</v>
      </c>
      <c r="K1835" s="3" t="inlineStr">
        <is>
          <t>좋은 땅 가성비 착한 토지 위치  땅모양 좋아요</t>
        </is>
      </c>
      <c r="L1835" s="6">
        <f>HYPERLINK("https://fin.land.naver.com/articles/2654306979", "매물Link")</f>
        <v/>
      </c>
      <c r="M1835" s="6">
        <f>HYPERLINK("https://map.naver.com/p/search/연서면 신대리 454-5", "지도Link")</f>
        <v/>
      </c>
      <c r="N1835" s="6">
        <f>HYPERLINK("http://www.eum.go.kr/web/ar/lu/luLandDet.jsp?pnu=3611036029104540005&amp;isNoScr=script&amp;mode=search", "토지이음")</f>
        <v/>
      </c>
      <c r="O1835" s="3" t="inlineStr">
        <is>
          <t>세종시삼성래미안</t>
        </is>
      </c>
      <c r="P1835" s="4" t="n">
        <v>1</v>
      </c>
      <c r="Q1835" s="4" t="n">
        <v>2366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신대리 456-2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72000</v>
      </c>
      <c r="G1836" s="4" t="n">
        <v>2632</v>
      </c>
      <c r="H1836" s="4" t="n">
        <v>796</v>
      </c>
      <c r="I1836" s="5" t="n">
        <v>90.5</v>
      </c>
      <c r="J1836" s="5" t="n">
        <v>22.9</v>
      </c>
      <c r="K1836" s="3" t="inlineStr">
        <is>
          <t>대토용,투자용 적합</t>
        </is>
      </c>
      <c r="L1836" s="6">
        <f>HYPERLINK("https://fin.land.naver.com/articles/2653703409", "매물Link")</f>
        <v/>
      </c>
      <c r="M1836" s="6">
        <f>HYPERLINK("https://map.naver.com/p/search/연서면 신대리 456-2", "지도Link")</f>
        <v/>
      </c>
      <c r="N1836" s="6">
        <f>HYPERLINK("http://www.eum.go.kr/web/ar/lu/luLandDet.jsp?pnu=3611036029104560002&amp;isNoScr=script&amp;mode=search", "토지이음")</f>
        <v/>
      </c>
      <c r="O1836" s="3" t="inlineStr">
        <is>
          <t>지원</t>
        </is>
      </c>
      <c r="P1836" s="4" t="n">
        <v>1</v>
      </c>
      <c r="Q1836" s="4" t="n">
        <v>2632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456-2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39800</v>
      </c>
      <c r="G1837" s="4" t="n">
        <v>2632</v>
      </c>
      <c r="H1837" s="4" t="n">
        <v>796</v>
      </c>
      <c r="I1837" s="5" t="n">
        <v>50</v>
      </c>
      <c r="J1837" s="5" t="n">
        <v>22.9</v>
      </c>
      <c r="K1837" s="3" t="inlineStr">
        <is>
          <t>nan</t>
        </is>
      </c>
      <c r="L1837" s="6">
        <f>HYPERLINK("https://fin.land.naver.com/articles/2654271164", "매물Link")</f>
        <v/>
      </c>
      <c r="M1837" s="6">
        <f>HYPERLINK("https://map.naver.com/p/search/연서면 신대리 456-2", "지도Link")</f>
        <v/>
      </c>
      <c r="N1837" s="6">
        <f>HYPERLINK("http://www.eum.go.kr/web/ar/lu/luLandDet.jsp?pnu=3611036029104560002&amp;isNoScr=script&amp;mode=search", "토지이음")</f>
        <v/>
      </c>
      <c r="O1837" s="3" t="inlineStr">
        <is>
          <t>효성</t>
        </is>
      </c>
      <c r="P1837" s="4" t="n">
        <v>1</v>
      </c>
      <c r="Q1837" s="4" t="n">
        <v>2632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458-1</t>
        </is>
      </c>
      <c r="B1838" s="3" t="inlineStr">
        <is>
          <t>보전관리지역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427000</v>
      </c>
      <c r="G1838" s="4" t="n">
        <v>10463</v>
      </c>
      <c r="H1838" s="4" t="n">
        <v>3165</v>
      </c>
      <c r="I1838" s="5" t="n">
        <v>134.9</v>
      </c>
      <c r="J1838" s="5" t="n">
        <v>63.8</v>
      </c>
      <c r="K1838" s="3" t="inlineStr">
        <is>
          <t>세종 국가산단 인근 가치 상승지역 토지 매매</t>
        </is>
      </c>
      <c r="L1838" s="6">
        <f>HYPERLINK("https://fin.land.naver.com/articles/2654049297", "매물Link")</f>
        <v/>
      </c>
      <c r="M1838" s="6">
        <f>HYPERLINK("https://map.naver.com/p/search/연서면 신대리 458-1", "지도Link")</f>
        <v/>
      </c>
      <c r="N1838" s="6">
        <f>HYPERLINK("http://www.eum.go.kr/web/ar/lu/luLandDet.jsp?pnu=3611036029104580001&amp;isNoScr=script&amp;mode=search", "토지이음")</f>
        <v/>
      </c>
      <c r="O1838" s="3" t="inlineStr">
        <is>
          <t>세종비전행정사</t>
        </is>
      </c>
      <c r="P1838" s="4" t="n">
        <v>1</v>
      </c>
      <c r="Q1838" s="4" t="n">
        <v>4780</v>
      </c>
      <c r="R1838" s="3" t="inlineStr">
        <is>
          <t>지정되지않음</t>
        </is>
      </c>
      <c r="S1838" s="3" t="inlineStr">
        <is>
          <t>주거기타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신대리 469-44</t>
        </is>
      </c>
      <c r="B1839" s="3" t="inlineStr">
        <is>
          <t>계획관리지역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41800</v>
      </c>
      <c r="G1839" s="4" t="n">
        <v>540</v>
      </c>
      <c r="H1839" s="4" t="n">
        <v>163</v>
      </c>
      <c r="I1839" s="5" t="n">
        <v>256.4</v>
      </c>
      <c r="J1839" s="5" t="n">
        <v>66</v>
      </c>
      <c r="K1839" s="3" t="inlineStr">
        <is>
          <t>남향,전원주택지추천,계획관리,고복저수지인접</t>
        </is>
      </c>
      <c r="L1839" s="6">
        <f>HYPERLINK("https://fin.land.naver.com/articles/2652355894", "매물Link")</f>
        <v/>
      </c>
      <c r="M1839" s="6">
        <f>HYPERLINK("https://map.naver.com/p/search/연서면 신대리 469-44", "지도Link")</f>
        <v/>
      </c>
      <c r="N1839" s="6">
        <f>HYPERLINK("http://www.eum.go.kr/web/ar/lu/luLandDet.jsp?pnu=3611036029104690044&amp;isNoScr=script&amp;mode=search", "토지이음")</f>
        <v/>
      </c>
      <c r="O1839" s="3" t="inlineStr">
        <is>
          <t>따뜻한</t>
        </is>
      </c>
      <c r="P1839" s="4" t="n">
        <v>1</v>
      </c>
      <c r="Q1839" s="4" t="n">
        <v>540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49-9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대</t>
        </is>
      </c>
      <c r="E1840" s="3" t="inlineStr">
        <is>
          <t>매매</t>
        </is>
      </c>
      <c r="F1840" s="4" t="n">
        <v>60000</v>
      </c>
      <c r="G1840" s="4" t="n">
        <v>2512</v>
      </c>
      <c r="H1840" s="4" t="n">
        <v>760</v>
      </c>
      <c r="I1840" s="5" t="n">
        <v>78.90000000000001</v>
      </c>
      <c r="J1840" s="5" t="n">
        <v>31.4</v>
      </c>
      <c r="K1840" s="3" t="inlineStr">
        <is>
          <t>농지 매물 연서면 신대리 2,512㎡ 답 매매</t>
        </is>
      </c>
      <c r="L1840" s="6">
        <f>HYPERLINK("https://fin.land.naver.com/articles/2651605840", "매물Link")</f>
        <v/>
      </c>
      <c r="M1840" s="6">
        <f>HYPERLINK("https://map.naver.com/p/search/연서면 신대리 49-9", "지도Link")</f>
        <v/>
      </c>
      <c r="N1840" s="6">
        <f>HYPERLINK("http://www.eum.go.kr/web/ar/lu/luLandDet.jsp?pnu=3611036029100490009&amp;isNoScr=script&amp;mode=search", "토지이음")</f>
        <v/>
      </c>
      <c r="O1840" s="3" t="inlineStr">
        <is>
          <t>세종몽땅</t>
        </is>
      </c>
      <c r="P1840" s="4" t="n">
        <v>1</v>
      </c>
      <c r="Q1840" s="4" t="n">
        <v>2512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537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대</t>
        </is>
      </c>
      <c r="E1841" s="3" t="inlineStr">
        <is>
          <t>매매</t>
        </is>
      </c>
      <c r="F1841" s="4" t="n">
        <v>60350</v>
      </c>
      <c r="G1841" s="4" t="n">
        <v>1147</v>
      </c>
      <c r="H1841" s="4" t="n">
        <v>347</v>
      </c>
      <c r="I1841" s="5" t="n">
        <v>173.9</v>
      </c>
      <c r="J1841" s="5" t="n">
        <v>38.1</v>
      </c>
      <c r="K1841" s="3" t="inlineStr">
        <is>
          <t>2차선도로에 접해있으며 인접 도로 여건이 양호</t>
        </is>
      </c>
      <c r="L1841" s="6">
        <f>HYPERLINK("https://fin.land.naver.com/articles/2655183784", "매물Link")</f>
        <v/>
      </c>
      <c r="M1841" s="6">
        <f>HYPERLINK("https://map.naver.com/p/search/연서면 신대리 537", "지도Link")</f>
        <v/>
      </c>
      <c r="N1841" s="6">
        <f>HYPERLINK("http://www.eum.go.kr/web/ar/lu/luLandDet.jsp?pnu=3611036029105370000&amp;isNoScr=script&amp;mode=search", "토지이음")</f>
        <v/>
      </c>
      <c r="O1841" s="3" t="inlineStr">
        <is>
          <t>더KEY</t>
        </is>
      </c>
      <c r="P1841" s="4" t="n">
        <v>1</v>
      </c>
      <c r="Q1841" s="4" t="n">
        <v>1174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소로한면</t>
        </is>
      </c>
    </row>
    <row r="1842">
      <c r="A1842" s="3" t="inlineStr">
        <is>
          <t>연서면 신대리 75-1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110000</v>
      </c>
      <c r="G1842" s="4" t="n">
        <v>4973</v>
      </c>
      <c r="H1842" s="4" t="n">
        <v>1504</v>
      </c>
      <c r="I1842" s="5" t="n">
        <v>73.09999999999999</v>
      </c>
      <c r="J1842" s="5" t="n">
        <v>31.7</v>
      </c>
      <c r="K1842" s="3" t="inlineStr">
        <is>
          <t>연서면 국가 산단 인근 2차선접한 토지 급매</t>
        </is>
      </c>
      <c r="L1842" s="6">
        <f>HYPERLINK("https://fin.land.naver.com/articles/2655629429", "매물Link")</f>
        <v/>
      </c>
      <c r="M1842" s="6">
        <f>HYPERLINK("https://map.naver.com/p/search/연서면 신대리 75-1", "지도Link")</f>
        <v/>
      </c>
      <c r="N1842" s="6">
        <f>HYPERLINK("http://www.eum.go.kr/web/ar/lu/luLandDet.jsp?pnu=3611036029100750001&amp;isNoScr=script&amp;mode=search", "토지이음")</f>
        <v/>
      </c>
      <c r="O1842" s="3" t="inlineStr">
        <is>
          <t>(주)경진컨설팅</t>
        </is>
      </c>
      <c r="P1842" s="4" t="n">
        <v>1</v>
      </c>
      <c r="Q1842" s="4" t="n">
        <v>1928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75-1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43700</v>
      </c>
      <c r="G1843" s="4" t="n">
        <v>1928</v>
      </c>
      <c r="H1843" s="4" t="n">
        <v>583</v>
      </c>
      <c r="I1843" s="5" t="n">
        <v>75</v>
      </c>
      <c r="J1843" s="5" t="n">
        <v>31.7</v>
      </c>
      <c r="K1843" s="3" t="inlineStr">
        <is>
          <t>2차선 도로에 접해 있는 세종 스마트 산업단지 인근의 투자용 토지</t>
        </is>
      </c>
      <c r="L1843" s="6">
        <f>HYPERLINK("https://fin.land.naver.com/articles/2653003595", "매물Link")</f>
        <v/>
      </c>
      <c r="M1843" s="6">
        <f>HYPERLINK("https://map.naver.com/p/search/연서면 신대리 75-1", "지도Link")</f>
        <v/>
      </c>
      <c r="N1843" s="6">
        <f>HYPERLINK("http://www.eum.go.kr/web/ar/lu/luLandDet.jsp?pnu=3611036029100750001&amp;isNoScr=script&amp;mode=search",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1928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75-2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69000</v>
      </c>
      <c r="G1844" s="4" t="n">
        <v>3045</v>
      </c>
      <c r="H1844" s="4" t="n">
        <v>921</v>
      </c>
      <c r="I1844" s="5" t="n">
        <v>74.90000000000001</v>
      </c>
      <c r="J1844" s="5" t="n">
        <v>31.7</v>
      </c>
      <c r="K1844" s="3" t="inlineStr">
        <is>
          <t>세종 스마트 국가산업단지가 예정 돼 있어 향후 투자가치가 높은 토지입니다</t>
        </is>
      </c>
      <c r="L1844" s="6">
        <f>HYPERLINK("https://fin.land.naver.com/articles/2655540085", "매물Link")</f>
        <v/>
      </c>
      <c r="M1844" s="6">
        <f>HYPERLINK("https://map.naver.com/p/search/연서면 신대리 75-2", "지도Link")</f>
        <v/>
      </c>
      <c r="N1844" s="6">
        <f>HYPERLINK("http://www.eum.go.kr/web/ar/lu/luLandDet.jsp?pnu=3611036029100750002&amp;isNoScr=script&amp;mode=search", "토지이음")</f>
        <v/>
      </c>
      <c r="O1844" s="3" t="inlineStr">
        <is>
          <t>스마일세종</t>
        </is>
      </c>
      <c r="P1844" s="4" t="n">
        <v>1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신대리 산100</t>
        </is>
      </c>
      <c r="B1845" s="3" t="inlineStr">
        <is>
          <t>보전관리지역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75000</v>
      </c>
      <c r="G1845" s="4" t="n">
        <v>6645</v>
      </c>
      <c r="H1845" s="4" t="n">
        <v>2010</v>
      </c>
      <c r="I1845" s="5" t="n">
        <v>37.3</v>
      </c>
      <c r="J1845" s="5" t="n">
        <v>8.5</v>
      </c>
      <c r="K1845" s="3" t="inlineStr">
        <is>
          <t>해구토말형 임야,귀한 명당 자리</t>
        </is>
      </c>
      <c r="L1845" s="6">
        <f>HYPERLINK("https://fin.land.naver.com/articles/2651709533", "매물Link")</f>
        <v/>
      </c>
      <c r="M1845" s="6">
        <f>HYPERLINK("https://map.naver.com/p/search/연서면 신대리 산100", "지도Link")</f>
        <v/>
      </c>
      <c r="N1845" s="6">
        <f>HYPERLINK("http://www.eum.go.kr/web/ar/lu/luLandDet.jsp?pnu=3611036029201000000&amp;isNoScr=script&amp;mode=search", "토지이음")</f>
        <v/>
      </c>
      <c r="O1845" s="3" t="inlineStr">
        <is>
          <t>가치잇는</t>
        </is>
      </c>
      <c r="P1845" s="4" t="n">
        <v>1</v>
      </c>
      <c r="Q1845" s="4" t="n">
        <v>6645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급경사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신대리 산19-5</t>
        </is>
      </c>
      <c r="B1846" s="3" t="inlineStr">
        <is>
          <t>보전관리지역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197000</v>
      </c>
      <c r="G1846" s="4" t="n">
        <v>8142</v>
      </c>
      <c r="H1846" s="4" t="n">
        <v>2463</v>
      </c>
      <c r="I1846" s="5" t="n">
        <v>80</v>
      </c>
      <c r="J1846" s="5" t="n">
        <v>4.6</v>
      </c>
      <c r="K1846" s="3" t="inlineStr">
        <is>
          <t>전원주택및다용도</t>
        </is>
      </c>
      <c r="L1846" s="6">
        <f>HYPERLINK("https://fin.land.naver.com/articles/2654781394", "매물Link")</f>
        <v/>
      </c>
      <c r="M1846" s="6">
        <f>HYPERLINK("https://map.naver.com/p/search/연서면 신대리 산19-5", "지도Link")</f>
        <v/>
      </c>
      <c r="N1846" s="6">
        <f>HYPERLINK("http://www.eum.go.kr/web/ar/lu/luLandDet.jsp?pnu=3611036029200190005&amp;isNoScr=script&amp;mode=search", "토지이음")</f>
        <v/>
      </c>
      <c r="O1846" s="3" t="inlineStr">
        <is>
          <t>지성</t>
        </is>
      </c>
      <c r="P1846" s="4" t="n">
        <v>1</v>
      </c>
      <c r="Q1846" s="4" t="n">
        <v>8142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급경사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연서면 신대리 산54-1</t>
        </is>
      </c>
      <c r="B1847" s="3" t="inlineStr">
        <is>
          <t>보전관리지역</t>
        </is>
      </c>
      <c r="C1847" s="3" t="inlineStr">
        <is>
          <t>임야</t>
        </is>
      </c>
      <c r="D1847" s="3" t="inlineStr">
        <is>
          <t>임야</t>
        </is>
      </c>
      <c r="E1847" s="3" t="inlineStr">
        <is>
          <t>매매</t>
        </is>
      </c>
      <c r="F1847" s="4" t="n">
        <v>130000</v>
      </c>
      <c r="G1847" s="4" t="n">
        <v>6171</v>
      </c>
      <c r="H1847" s="4" t="n">
        <v>1867</v>
      </c>
      <c r="I1847" s="5" t="n">
        <v>69.59999999999999</v>
      </c>
      <c r="J1847" s="5" t="n">
        <v>4.7</v>
      </c>
      <c r="K1847" s="3" t="inlineStr">
        <is>
          <t>국가산단옆,취락지구,계획관리포함됨,도로접, 가격조정가.</t>
        </is>
      </c>
      <c r="L1847" s="6">
        <f>HYPERLINK("https://fin.land.naver.com/articles/2655734390", "매물Link")</f>
        <v/>
      </c>
      <c r="M1847" s="6">
        <f>HYPERLINK("https://map.naver.com/p/search/연서면 신대리 산54-1", "지도Link")</f>
        <v/>
      </c>
      <c r="N1847" s="6">
        <f>HYPERLINK("http://www.eum.go.kr/web/ar/lu/luLandDet.jsp?pnu=3611036029200540001&amp;isNoScr=script&amp;mode=search", "토지이음")</f>
        <v/>
      </c>
      <c r="O1847" s="3" t="inlineStr">
        <is>
          <t>카톡</t>
        </is>
      </c>
      <c r="P1847" s="4" t="n">
        <v>1</v>
      </c>
      <c r="Q1847" s="4" t="n">
        <v>5455</v>
      </c>
      <c r="R1847" s="3" t="inlineStr">
        <is>
          <t>계획관리지역</t>
        </is>
      </c>
      <c r="S1847" s="3" t="inlineStr">
        <is>
          <t>자연림</t>
        </is>
      </c>
      <c r="T1847" s="3" t="inlineStr">
        <is>
          <t>급경사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신대리 산64-13</t>
        </is>
      </c>
      <c r="B1848" s="3" t="inlineStr">
        <is>
          <t>계획관리지역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185400</v>
      </c>
      <c r="G1848" s="4" t="n">
        <v>3064</v>
      </c>
      <c r="H1848" s="4" t="n">
        <v>927</v>
      </c>
      <c r="I1848" s="5" t="n">
        <v>200</v>
      </c>
      <c r="J1848" s="5" t="n">
        <v>6.6</v>
      </c>
      <c r="K1848" s="3" t="inlineStr">
        <is>
          <t>연서면 신대리 토지 매매</t>
        </is>
      </c>
      <c r="L1848" s="6">
        <f>HYPERLINK("https://fin.land.naver.com/articles/2653301226", "매물Link")</f>
        <v/>
      </c>
      <c r="M1848" s="6">
        <f>HYPERLINK("https://map.naver.com/p/search/연서면 신대리 산64-13", "지도Link")</f>
        <v/>
      </c>
      <c r="N1848" s="6">
        <f>HYPERLINK("http://www.eum.go.kr/web/ar/lu/luLandDet.jsp?pnu=3611036029200640013&amp;isNoScr=script&amp;mode=search", "토지이음")</f>
        <v/>
      </c>
      <c r="O1848" s="3" t="inlineStr">
        <is>
          <t>주식회사넥서스</t>
        </is>
      </c>
      <c r="P1848" s="4" t="n">
        <v>1</v>
      </c>
      <c r="Q1848" s="4" t="n">
        <v>3064</v>
      </c>
      <c r="R1848" s="3" t="inlineStr">
        <is>
          <t>지정되지않음</t>
        </is>
      </c>
      <c r="S1848" s="3" t="inlineStr">
        <is>
          <t>자연림</t>
        </is>
      </c>
      <c r="T1848" s="3" t="inlineStr">
        <is>
          <t>완경사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산64-13</t>
        </is>
      </c>
      <c r="B1849" s="3" t="inlineStr">
        <is>
          <t>계획관리지역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185400</v>
      </c>
      <c r="G1849" s="4" t="n">
        <v>3064</v>
      </c>
      <c r="H1849" s="4" t="n">
        <v>927</v>
      </c>
      <c r="I1849" s="5" t="n">
        <v>200</v>
      </c>
      <c r="J1849" s="5" t="n">
        <v>6.6</v>
      </c>
      <c r="K1849" s="3" t="inlineStr">
        <is>
          <t>연서면 신대리 토지 매매</t>
        </is>
      </c>
      <c r="L1849" s="6">
        <f>HYPERLINK("https://fin.land.naver.com/articles/2653008123", "매물Link")</f>
        <v/>
      </c>
      <c r="M1849" s="6">
        <f>HYPERLINK("https://map.naver.com/p/search/연서면 신대리 산64-13", "지도Link")</f>
        <v/>
      </c>
      <c r="N1849" s="6">
        <f>HYPERLINK("http://www.eum.go.kr/web/ar/lu/luLandDet.jsp?pnu=3611036029200640013&amp;isNoScr=script&amp;mode=search", "토지이음")</f>
        <v/>
      </c>
      <c r="O1849" s="3" t="inlineStr">
        <is>
          <t>주식회사넥서스</t>
        </is>
      </c>
      <c r="P1849" s="4" t="n">
        <v>1</v>
      </c>
      <c r="Q1849" s="4" t="n">
        <v>3064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완경사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산64-15</t>
        </is>
      </c>
      <c r="B1850" s="3" t="inlineStr">
        <is>
          <t>계획관리지역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67000</v>
      </c>
      <c r="G1850" s="4" t="n">
        <v>1395</v>
      </c>
      <c r="H1850" s="4" t="n">
        <v>422</v>
      </c>
      <c r="I1850" s="5" t="n">
        <v>158.8</v>
      </c>
      <c r="J1850" s="5" t="n">
        <v>45.6</v>
      </c>
      <c r="K1850" s="3" t="inlineStr">
        <is>
          <t>계획관리 네모 반듯한 임야. 주택 근생 공장 창고 가능 넓은 도로</t>
        </is>
      </c>
      <c r="L1850" s="6">
        <f>HYPERLINK("https://fin.land.naver.com/articles/2652124954", "매물Link")</f>
        <v/>
      </c>
      <c r="M1850" s="6">
        <f>HYPERLINK("https://map.naver.com/p/search/연서면 신대리 산64-15", "지도Link")</f>
        <v/>
      </c>
      <c r="N1850" s="6">
        <f>HYPERLINK("http://www.eum.go.kr/web/ar/lu/luLandDet.jsp?pnu=3611036029200640015&amp;isNoScr=script&amp;mode=search", "토지이음")</f>
        <v/>
      </c>
      <c r="O1850" s="3" t="inlineStr">
        <is>
          <t>미스터홈즈강남지사</t>
        </is>
      </c>
      <c r="P1850" s="4" t="n">
        <v>1</v>
      </c>
      <c r="Q1850" s="4" t="n">
        <v>1304</v>
      </c>
      <c r="R1850" s="3" t="inlineStr">
        <is>
          <t>지정되지않음</t>
        </is>
      </c>
      <c r="S1850" s="3" t="inlineStr">
        <is>
          <t>전기타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쌍류리 101-10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16000</v>
      </c>
      <c r="G1851" s="4" t="n">
        <v>413</v>
      </c>
      <c r="H1851" s="4" t="n">
        <v>125</v>
      </c>
      <c r="I1851" s="5" t="n">
        <v>128</v>
      </c>
      <c r="J1851" s="5" t="n">
        <v>31.2</v>
      </c>
      <c r="K1851" s="3" t="inlineStr">
        <is>
          <t>체류형쉼터강추,도로접,국유지사용가,도로지분33제곱별도면적포함가</t>
        </is>
      </c>
      <c r="L1851" s="6">
        <f>HYPERLINK("https://fin.land.naver.com/articles/2654053916", "매물Link")</f>
        <v/>
      </c>
      <c r="M1851" s="6">
        <f>HYPERLINK("https://map.naver.com/p/search/연서면 쌍류리 101-10", "지도Link")</f>
        <v/>
      </c>
      <c r="N1851" s="6">
        <f>HYPERLINK("http://www.eum.go.kr/web/ar/lu/luLandDet.jsp?pnu=3611036026101010010&amp;isNoScr=script&amp;mode=search", "토지이음")</f>
        <v/>
      </c>
      <c r="O1851" s="3" t="inlineStr">
        <is>
          <t>힐스테이트행복</t>
        </is>
      </c>
      <c r="P1851" s="4" t="n">
        <v>1</v>
      </c>
      <c r="Q1851" s="4" t="n">
        <v>413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평지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쌍류리 101-10</t>
        </is>
      </c>
      <c r="B1852" s="3" t="inlineStr">
        <is>
          <t>생산관리지역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16000</v>
      </c>
      <c r="G1852" s="4" t="n">
        <v>447</v>
      </c>
      <c r="H1852" s="4" t="n">
        <v>135</v>
      </c>
      <c r="I1852" s="5" t="n">
        <v>118.5</v>
      </c>
      <c r="J1852" s="5" t="n">
        <v>31.2</v>
      </c>
      <c r="K1852" s="3" t="inlineStr">
        <is>
          <t>고복저수지인근,4m도로접, 모양좋고 평탄한 농지, 주말농장,체류형쉼터,</t>
        </is>
      </c>
      <c r="L1852" s="6">
        <f>HYPERLINK("https://fin.land.naver.com/articles/2651745421", "매물Link")</f>
        <v/>
      </c>
      <c r="M1852" s="6">
        <f>HYPERLINK("https://map.naver.com/p/search/연서면 쌍류리 101-10", "지도Link")</f>
        <v/>
      </c>
      <c r="N1852" s="6">
        <f>HYPERLINK("http://www.eum.go.kr/web/ar/lu/luLandDet.jsp?pnu=3611036026101010010&amp;isNoScr=script&amp;mode=search", "토지이음")</f>
        <v/>
      </c>
      <c r="O1852" s="3" t="inlineStr">
        <is>
          <t>세종복댕이</t>
        </is>
      </c>
      <c r="P1852" s="4" t="n">
        <v>1</v>
      </c>
      <c r="Q1852" s="4" t="n">
        <v>413</v>
      </c>
      <c r="R1852" s="3" t="inlineStr">
        <is>
          <t>지정되지않음</t>
        </is>
      </c>
      <c r="S1852" s="3" t="inlineStr">
        <is>
          <t>전기타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쌍류리 101-15</t>
        </is>
      </c>
      <c r="B1853" s="3" t="inlineStr">
        <is>
          <t>생산관리지역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20000</v>
      </c>
      <c r="G1853" s="4" t="n">
        <v>417</v>
      </c>
      <c r="H1853" s="4" t="n">
        <v>126</v>
      </c>
      <c r="I1853" s="5" t="n">
        <v>158.7</v>
      </c>
      <c r="J1853" s="5" t="n">
        <v>31.2</v>
      </c>
      <c r="K1853" s="3" t="inlineStr">
        <is>
          <t>고복저수지 끝자락  나만의 힐링 텃밭 조성 가능,  농막, 정화조 있음</t>
        </is>
      </c>
      <c r="L1853" s="6">
        <f>HYPERLINK("https://fin.land.naver.com/articles/2655629507", "매물Link")</f>
        <v/>
      </c>
      <c r="M1853" s="6">
        <f>HYPERLINK("https://map.naver.com/p/search/연서면 쌍류리 101-15", "지도Link")</f>
        <v/>
      </c>
      <c r="N1853" s="6">
        <f>HYPERLINK("http://www.eum.go.kr/web/ar/lu/luLandDet.jsp?pnu=3611036026101010015&amp;isNoScr=script&amp;mode=search", "토지이음")</f>
        <v/>
      </c>
      <c r="O1853" s="3" t="inlineStr">
        <is>
          <t>현담</t>
        </is>
      </c>
      <c r="P1853" s="4" t="n">
        <v>1</v>
      </c>
      <c r="Q1853" s="4" t="n">
        <v>417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116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23800</v>
      </c>
      <c r="G1854" s="4" t="n">
        <v>1959</v>
      </c>
      <c r="H1854" s="4" t="n">
        <v>593</v>
      </c>
      <c r="I1854" s="5" t="n">
        <v>40.1</v>
      </c>
      <c r="J1854" s="5" t="n">
        <v>25.8</v>
      </c>
      <c r="K1854" s="3" t="inlineStr">
        <is>
          <t>급매. 고복저수지 인근 소액토지</t>
        </is>
      </c>
      <c r="L1854" s="6">
        <f>HYPERLINK("https://fin.land.naver.com/articles/2654805339", "매물Link")</f>
        <v/>
      </c>
      <c r="M1854" s="6">
        <f>HYPERLINK("https://map.naver.com/p/search/연서면 쌍류리 116", "지도Link")</f>
        <v/>
      </c>
      <c r="N1854" s="6">
        <f>HYPERLINK("http://www.eum.go.kr/web/ar/lu/luLandDet.jsp?pnu=3611036026101160000&amp;isNoScr=script&amp;mode=search",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1959</v>
      </c>
      <c r="R1854" s="3" t="inlineStr">
        <is>
          <t>지정되지않음</t>
        </is>
      </c>
      <c r="S1854" s="3" t="inlineStr">
        <is>
          <t>과수원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쌍류리 126-3</t>
        </is>
      </c>
      <c r="B1855" s="3" t="inlineStr">
        <is>
          <t>생산관리지역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92000</v>
      </c>
      <c r="G1855" s="4" t="n">
        <v>1909</v>
      </c>
      <c r="H1855" s="4" t="n">
        <v>577</v>
      </c>
      <c r="I1855" s="5" t="n">
        <v>159.4</v>
      </c>
      <c r="J1855" s="5" t="n">
        <v>46.6</v>
      </c>
      <c r="K1855" s="3" t="inlineStr">
        <is>
          <t>신축주택과 넓은 마당 갖춘 고복저수지 생활권</t>
        </is>
      </c>
      <c r="L1855" s="6">
        <f>HYPERLINK("https://fin.land.naver.com/articles/2653428455", "매물Link")</f>
        <v/>
      </c>
      <c r="M1855" s="6">
        <f>HYPERLINK("https://map.naver.com/p/search/연서면 쌍류리 126-3", "지도Link")</f>
        <v/>
      </c>
      <c r="N1855" s="6">
        <f>HYPERLINK("http://www.eum.go.kr/web/ar/lu/luLandDet.jsp?pnu=3611036026101260003&amp;isNoScr=script&amp;mode=search", "토지이음")</f>
        <v/>
      </c>
      <c r="O1855" s="3" t="inlineStr">
        <is>
          <t>세종소담황금</t>
        </is>
      </c>
      <c r="P1855" s="4" t="n">
        <v>1</v>
      </c>
      <c r="Q1855" s="4" t="n">
        <v>683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쌍류리 164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35000</v>
      </c>
      <c r="G1856" s="4" t="n">
        <v>1260</v>
      </c>
      <c r="H1856" s="4" t="n">
        <v>381</v>
      </c>
      <c r="I1856" s="5" t="n">
        <v>91.90000000000001</v>
      </c>
      <c r="J1856" s="5" t="n">
        <v>25</v>
      </c>
      <c r="K1856" s="3" t="inlineStr">
        <is>
          <t>세종 연서면 과수원 매매 생산관리지역성장관리계획구역</t>
        </is>
      </c>
      <c r="L1856" s="6">
        <f>HYPERLINK("https://fin.land.naver.com/articles/2651520255", "매물Link")</f>
        <v/>
      </c>
      <c r="M1856" s="6">
        <f>HYPERLINK("https://map.naver.com/p/search/연서면 쌍류리 164", "지도Link")</f>
        <v/>
      </c>
      <c r="N1856" s="6">
        <f>HYPERLINK("http://www.eum.go.kr/web/ar/lu/luLandDet.jsp?pnu=3611036026101640000&amp;isNoScr=script&amp;mode=search", "토지이음")</f>
        <v/>
      </c>
      <c r="O1856" s="3" t="inlineStr">
        <is>
          <t>세종몽땅</t>
        </is>
      </c>
      <c r="P1856" s="4" t="n">
        <v>1</v>
      </c>
      <c r="Q1856" s="4" t="n">
        <v>1260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쌍류리 164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35000</v>
      </c>
      <c r="G1857" s="4" t="n">
        <v>1260</v>
      </c>
      <c r="H1857" s="4" t="n">
        <v>381</v>
      </c>
      <c r="I1857" s="5" t="n">
        <v>91.90000000000001</v>
      </c>
      <c r="J1857" s="5" t="n">
        <v>25</v>
      </c>
      <c r="K1857" s="3" t="inlineStr">
        <is>
          <t>과수원 매매｜생산관리지역성장관리계획구역</t>
        </is>
      </c>
      <c r="L1857" s="6">
        <f>HYPERLINK("https://fin.land.naver.com/articles/2655619070", "매물Link")</f>
        <v/>
      </c>
      <c r="M1857" s="6">
        <f>HYPERLINK("https://map.naver.com/p/search/연서면 쌍류리 164", "지도Link")</f>
        <v/>
      </c>
      <c r="N1857" s="6">
        <f>HYPERLINK("http://www.eum.go.kr/web/ar/lu/luLandDet.jsp?pnu=3611036026101640000&amp;isNoScr=script&amp;mode=search", "토지이음")</f>
        <v/>
      </c>
      <c r="O1857" s="3" t="inlineStr">
        <is>
          <t>세종몽땅</t>
        </is>
      </c>
      <c r="P1857" s="4" t="n">
        <v>1</v>
      </c>
      <c r="Q1857" s="4" t="n">
        <v>1260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부정형</t>
        </is>
      </c>
      <c r="V1857" s="3" t="inlineStr">
        <is>
          <t>세로한면(불)</t>
        </is>
      </c>
    </row>
    <row r="1858">
      <c r="A1858" s="3" t="inlineStr">
        <is>
          <t>연서면 쌍류리 171-3</t>
        </is>
      </c>
      <c r="B1858" s="3" t="inlineStr">
        <is>
          <t>생산관리지역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81000</v>
      </c>
      <c r="G1858" s="4" t="n">
        <v>1978</v>
      </c>
      <c r="H1858" s="4" t="n">
        <v>598</v>
      </c>
      <c r="I1858" s="5" t="n">
        <v>135.5</v>
      </c>
      <c r="J1858" s="5" t="n">
        <v>29.7</v>
      </c>
      <c r="K1858" s="3" t="inlineStr">
        <is>
          <t>농지 매매규모 있는 영농부지 찾는 분 주목</t>
        </is>
      </c>
      <c r="L1858" s="6">
        <f>HYPERLINK("https://fin.land.naver.com/articles/2655620907", "매물Link")</f>
        <v/>
      </c>
      <c r="M1858" s="6">
        <f>HYPERLINK("https://map.naver.com/p/search/연서면 쌍류리 171-3", "지도Link")</f>
        <v/>
      </c>
      <c r="N1858" s="6">
        <f>HYPERLINK("http://www.eum.go.kr/web/ar/lu/luLandDet.jsp?pnu=3611036026101710003&amp;isNoScr=script&amp;mode=search", "토지이음")</f>
        <v/>
      </c>
      <c r="O1858" s="3" t="inlineStr">
        <is>
          <t>세종몽땅</t>
        </is>
      </c>
      <c r="P1858" s="4" t="n">
        <v>1</v>
      </c>
      <c r="Q1858" s="4" t="n">
        <v>1978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쌍류리 224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110000</v>
      </c>
      <c r="G1859" s="4" t="n">
        <v>3183</v>
      </c>
      <c r="H1859" s="4" t="n">
        <v>963</v>
      </c>
      <c r="I1859" s="5" t="n">
        <v>114.2</v>
      </c>
      <c r="J1859" s="5" t="n">
        <v>35.8</v>
      </c>
      <c r="K1859" s="3" t="inlineStr">
        <is>
          <t>도로접,땅모양좋습니다,성장관리계획구역,조정가</t>
        </is>
      </c>
      <c r="L1859" s="6">
        <f>HYPERLINK("https://fin.land.naver.com/articles/2656224781", "매물Link")</f>
        <v/>
      </c>
      <c r="M1859" s="6">
        <f>HYPERLINK("https://map.naver.com/p/search/연서면 쌍류리 224", "지도Link")</f>
        <v/>
      </c>
      <c r="N1859" s="6">
        <f>HYPERLINK("http://www.eum.go.kr/web/ar/lu/luLandDet.jsp?pnu=3611036026102240000&amp;isNoScr=script&amp;mode=search",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3183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224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96300</v>
      </c>
      <c r="G1860" s="4" t="n">
        <v>3183</v>
      </c>
      <c r="H1860" s="4" t="n">
        <v>963</v>
      </c>
      <c r="I1860" s="5" t="n">
        <v>100</v>
      </c>
      <c r="J1860" s="5" t="n">
        <v>35.8</v>
      </c>
      <c r="K1860" s="3" t="inlineStr">
        <is>
          <t>고복저수지, 연기휴게소예정지 인근 생산관리토지</t>
        </is>
      </c>
      <c r="L1860" s="6">
        <f>HYPERLINK("https://fin.land.naver.com/articles/2652041512", "매물Link")</f>
        <v/>
      </c>
      <c r="M1860" s="6">
        <f>HYPERLINK("https://map.naver.com/p/search/연서면 쌍류리 224", "지도Link")</f>
        <v/>
      </c>
      <c r="N1860" s="6">
        <f>HYPERLINK("http://www.eum.go.kr/web/ar/lu/luLandDet.jsp?pnu=3611036026102240000&amp;isNoScr=script&amp;mode=search",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3183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쌍류리 227-1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39600</v>
      </c>
      <c r="G1861" s="4" t="n">
        <v>1092</v>
      </c>
      <c r="H1861" s="4" t="n">
        <v>330</v>
      </c>
      <c r="I1861" s="5" t="n">
        <v>120</v>
      </c>
      <c r="J1861" s="5" t="n">
        <v>37.7</v>
      </c>
      <c r="K1861" s="3" t="inlineStr">
        <is>
          <t>도로접함 2필지 일괄매매 현재 과수원 미래가치ok</t>
        </is>
      </c>
      <c r="L1861" s="6">
        <f>HYPERLINK("https://fin.land.naver.com/articles/2656371186", "매물Link")</f>
        <v/>
      </c>
      <c r="M1861" s="6">
        <f>HYPERLINK("https://map.naver.com/p/search/연서면 쌍류리 227-1", "지도Link")</f>
        <v/>
      </c>
      <c r="N1861" s="6">
        <f>HYPERLINK("http://www.eum.go.kr/web/ar/lu/luLandDet.jsp?pnu=3611036026102270001&amp;isNoScr=script&amp;mode=search", "토지이음")</f>
        <v/>
      </c>
      <c r="O1861" s="3" t="inlineStr">
        <is>
          <t>신불당</t>
        </is>
      </c>
      <c r="P1861" s="4" t="n">
        <v>1</v>
      </c>
      <c r="Q1861" s="4" t="n">
        <v>3530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세로한면(불)</t>
        </is>
      </c>
    </row>
    <row r="1862">
      <c r="A1862" s="3" t="inlineStr">
        <is>
          <t>연서면 쌍류리 227-1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160000</v>
      </c>
      <c r="G1862" s="4" t="n">
        <v>3530</v>
      </c>
      <c r="H1862" s="4" t="n">
        <v>1068</v>
      </c>
      <c r="I1862" s="5" t="n">
        <v>149.8</v>
      </c>
      <c r="J1862" s="5" t="n">
        <v>37.7</v>
      </c>
      <c r="K1862" s="3" t="inlineStr">
        <is>
          <t>고복저수지인근,2차선접,투자가치좋아요</t>
        </is>
      </c>
      <c r="L1862" s="6">
        <f>HYPERLINK("https://fin.land.naver.com/articles/2656225837", "매물Link")</f>
        <v/>
      </c>
      <c r="M1862" s="6">
        <f>HYPERLINK("https://map.naver.com/p/search/연서면 쌍류리 227-1", "지도Link")</f>
        <v/>
      </c>
      <c r="N1862" s="6">
        <f>HYPERLINK("http://www.eum.go.kr/web/ar/lu/luLandDet.jsp?pnu=3611036026102270001&amp;isNoScr=script&amp;mode=search", "토지이음")</f>
        <v/>
      </c>
      <c r="O1862" s="3" t="inlineStr">
        <is>
          <t>힐스테이트행복</t>
        </is>
      </c>
      <c r="P1862" s="4" t="n">
        <v>1</v>
      </c>
      <c r="Q1862" s="4" t="n">
        <v>3530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세로한면(불)</t>
        </is>
      </c>
    </row>
    <row r="1863">
      <c r="A1863" s="3" t="inlineStr">
        <is>
          <t>연서면 쌍류리 253-1</t>
        </is>
      </c>
      <c r="B1863" s="3" t="inlineStr">
        <is>
          <t>생산관리지역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39300</v>
      </c>
      <c r="G1863" s="4" t="n">
        <v>1002</v>
      </c>
      <c r="H1863" s="4" t="n">
        <v>303</v>
      </c>
      <c r="I1863" s="5" t="n">
        <v>129.7</v>
      </c>
      <c r="J1863" s="5" t="n">
        <v>30.9</v>
      </c>
      <c r="K1863" s="3" t="inlineStr">
        <is>
          <t>고복저수지인근의 도로길게 접한 생산관리 농지, 전원생활,투자를 겸한 자경</t>
        </is>
      </c>
      <c r="L1863" s="6">
        <f>HYPERLINK("https://fin.land.naver.com/articles/2651745431", "매물Link")</f>
        <v/>
      </c>
      <c r="M1863" s="6">
        <f>HYPERLINK("https://map.naver.com/p/search/연서면 쌍류리 253-1", "지도Link")</f>
        <v/>
      </c>
      <c r="N1863" s="6">
        <f>HYPERLINK("http://www.eum.go.kr/web/ar/lu/luLandDet.jsp?pnu=3611036026102530001&amp;isNoScr=script&amp;mode=search", "토지이음")</f>
        <v/>
      </c>
      <c r="O1863" s="3" t="inlineStr">
        <is>
          <t>세종복댕이</t>
        </is>
      </c>
      <c r="P1863" s="4" t="n">
        <v>1</v>
      </c>
      <c r="Q1863" s="4" t="n">
        <v>1002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세로각지(가)</t>
        </is>
      </c>
    </row>
    <row r="1864">
      <c r="A1864" s="3" t="inlineStr">
        <is>
          <t>연서면 쌍류리 29-1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38500</v>
      </c>
      <c r="G1864" s="4" t="n">
        <v>1590</v>
      </c>
      <c r="H1864" s="4" t="n">
        <v>481</v>
      </c>
      <c r="I1864" s="5" t="n">
        <v>80</v>
      </c>
      <c r="J1864" s="5" t="n">
        <v>24.9</v>
      </c>
      <c r="K1864" s="3" t="inlineStr">
        <is>
          <t>농막 전기 수도 등이 설치된 복숭아 과수원을 급매로  매매합니다</t>
        </is>
      </c>
      <c r="L1864" s="6">
        <f>HYPERLINK("https://fin.land.naver.com/articles/2655303013", "매물Link")</f>
        <v/>
      </c>
      <c r="M1864" s="6">
        <f>HYPERLINK("https://map.naver.com/p/search/연서면 쌍류리 29-1", "지도Link")</f>
        <v/>
      </c>
      <c r="N1864" s="6">
        <f>HYPERLINK("http://www.eum.go.kr/web/ar/lu/luLandDet.jsp?pnu=3611036026100290001&amp;isNoScr=script&amp;mode=search", "토지이음")</f>
        <v/>
      </c>
      <c r="O1864" s="3" t="inlineStr">
        <is>
          <t>스마일세종</t>
        </is>
      </c>
      <c r="P1864" s="4" t="n">
        <v>2</v>
      </c>
      <c r="Q1864" s="4" t="n">
        <v>1590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쌍류리 304-1</t>
        </is>
      </c>
      <c r="B1865" s="3" t="inlineStr">
        <is>
          <t>계획관리지역</t>
        </is>
      </c>
      <c r="C1865" s="3" t="inlineStr">
        <is>
          <t>공장용지</t>
        </is>
      </c>
      <c r="D1865" s="3" t="inlineStr">
        <is>
          <t>공장용지</t>
        </is>
      </c>
      <c r="E1865" s="3" t="inlineStr">
        <is>
          <t>매매</t>
        </is>
      </c>
      <c r="F1865" s="4" t="n">
        <v>112000</v>
      </c>
      <c r="G1865" s="4" t="n">
        <v>1851</v>
      </c>
      <c r="H1865" s="4" t="n">
        <v>560</v>
      </c>
      <c r="I1865" s="5" t="n">
        <v>200</v>
      </c>
      <c r="J1865" s="5" t="n">
        <v>63.2</v>
      </c>
      <c r="K1865" s="3" t="inlineStr">
        <is>
          <t>공장 있었으나 멸실됨, 공장 창고 또는 근생부지로도 훌륭함</t>
        </is>
      </c>
      <c r="L1865" s="6">
        <f>HYPERLINK("https://fin.land.naver.com/articles/2652040154", "매물Link")</f>
        <v/>
      </c>
      <c r="M1865" s="6">
        <f>HYPERLINK("https://map.naver.com/p/search/연서면 쌍류리 304-1", "지도Link")</f>
        <v/>
      </c>
      <c r="N1865" s="6">
        <f>HYPERLINK("http://www.eum.go.kr/web/ar/lu/luLandDet.jsp?pnu=3611036026103040001&amp;isNoScr=script&amp;mode=search", "토지이음")</f>
        <v/>
      </c>
      <c r="O1865" s="3" t="inlineStr">
        <is>
          <t>미스터홈즈강남지사</t>
        </is>
      </c>
      <c r="P1865" s="4" t="n">
        <v>1</v>
      </c>
      <c r="Q1865" s="4" t="n">
        <v>818</v>
      </c>
      <c r="R1865" s="3" t="inlineStr">
        <is>
          <t>지정되지않음</t>
        </is>
      </c>
      <c r="S1865" s="3" t="inlineStr">
        <is>
          <t>공업용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333-1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36500</v>
      </c>
      <c r="G1866" s="4" t="n">
        <v>1334</v>
      </c>
      <c r="H1866" s="4" t="n">
        <v>404</v>
      </c>
      <c r="I1866" s="5" t="n">
        <v>90.3</v>
      </c>
      <c r="J1866" s="5" t="n">
        <v>29.4</v>
      </c>
      <c r="K1866" s="3" t="inlineStr">
        <is>
          <t>연서면 쌍류리 2차선변 토지 매매</t>
        </is>
      </c>
      <c r="L1866" s="6">
        <f>HYPERLINK("https://fin.land.naver.com/articles/2656233638", "매물Link")</f>
        <v/>
      </c>
      <c r="M1866" s="6">
        <f>HYPERLINK("https://map.naver.com/p/search/연서면 쌍류리 333-1", "지도Link")</f>
        <v/>
      </c>
      <c r="N1866" s="6">
        <f>HYPERLINK("http://www.eum.go.kr/web/ar/lu/luLandDet.jsp?pnu=3611036026103330001&amp;isNoScr=script&amp;mode=search", "토지이음")</f>
        <v/>
      </c>
      <c r="O1866" s="3" t="inlineStr">
        <is>
          <t>길운</t>
        </is>
      </c>
      <c r="P1866" s="4" t="n">
        <v>1</v>
      </c>
      <c r="Q1866" s="4" t="n">
        <v>984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연서면 쌍류리 333-1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70200</v>
      </c>
      <c r="G1867" s="4" t="n">
        <v>2340</v>
      </c>
      <c r="H1867" s="4" t="n">
        <v>708</v>
      </c>
      <c r="I1867" s="5" t="n">
        <v>99.2</v>
      </c>
      <c r="J1867" s="5" t="n">
        <v>29.4</v>
      </c>
      <c r="K1867" s="3" t="inlineStr">
        <is>
          <t>연서면 쌍류리 2차선변 과수원 매매</t>
        </is>
      </c>
      <c r="L1867" s="6">
        <f>HYPERLINK("https://fin.land.naver.com/articles/2650946339", "매물Link")</f>
        <v/>
      </c>
      <c r="M1867" s="6">
        <f>HYPERLINK("https://map.naver.com/p/search/연서면 쌍류리 333-1", "지도Link")</f>
        <v/>
      </c>
      <c r="N1867" s="6">
        <f>HYPERLINK("http://www.eum.go.kr/web/ar/lu/luLandDet.jsp?pnu=3611036026103330001&amp;isNoScr=script&amp;mode=search", "토지이음")</f>
        <v/>
      </c>
      <c r="O1867" s="3" t="inlineStr">
        <is>
          <t>길운</t>
        </is>
      </c>
      <c r="P1867" s="4" t="n">
        <v>1</v>
      </c>
      <c r="Q1867" s="4" t="n">
        <v>984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쌍류리 426-2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16000</v>
      </c>
      <c r="G1868" s="4" t="n">
        <v>476</v>
      </c>
      <c r="H1868" s="4" t="n">
        <v>144</v>
      </c>
      <c r="I1868" s="5" t="n">
        <v>111.1</v>
      </c>
      <c r="J1868" s="5" t="n">
        <v>55.4</v>
      </c>
      <c r="K1868" s="3" t="inlineStr">
        <is>
          <t>nan</t>
        </is>
      </c>
      <c r="L1868" s="6">
        <f>HYPERLINK("https://fin.land.naver.com/articles/2656062673", "매물Link")</f>
        <v/>
      </c>
      <c r="M1868" s="6">
        <f>HYPERLINK("https://map.naver.com/p/search/연서면 쌍류리 426-2", "지도Link")</f>
        <v/>
      </c>
      <c r="N1868" s="6">
        <f>HYPERLINK("http://www.eum.go.kr/web/ar/lu/luLandDet.jsp?pnu=3611036026104260002&amp;isNoScr=script&amp;mode=search", "토지이음")</f>
        <v/>
      </c>
      <c r="O1868" s="3" t="inlineStr">
        <is>
          <t>지성</t>
        </is>
      </c>
      <c r="P1868" s="4" t="n">
        <v>1</v>
      </c>
      <c r="Q1868" s="4" t="n">
        <v>476</v>
      </c>
      <c r="R1868" s="3" t="inlineStr">
        <is>
          <t>지정되지않음</t>
        </is>
      </c>
      <c r="S1868" s="3" t="inlineStr">
        <is>
          <t>단독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쌍류리 438-1</t>
        </is>
      </c>
      <c r="B1869" s="3" t="inlineStr">
        <is>
          <t>생산관리지역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224640</v>
      </c>
      <c r="G1869" s="4" t="n">
        <v>11404</v>
      </c>
      <c r="H1869" s="4" t="n">
        <v>3450</v>
      </c>
      <c r="I1869" s="5" t="n">
        <v>65.09999999999999</v>
      </c>
      <c r="J1869" s="5" t="n">
        <v>27.4</v>
      </c>
      <c r="K1869" s="3" t="inlineStr">
        <is>
          <t>국가산단 수혜 성장관리계획구역 내 대형 토지 투자 적기</t>
        </is>
      </c>
      <c r="L1869" s="6">
        <f>HYPERLINK("https://fin.land.naver.com/articles/2653501135", "매물Link")</f>
        <v/>
      </c>
      <c r="M1869" s="6">
        <f>HYPERLINK("https://map.naver.com/p/search/연서면 쌍류리 438-1", "지도Link")</f>
        <v/>
      </c>
      <c r="N1869" s="6">
        <f>HYPERLINK("http://www.eum.go.kr/web/ar/lu/luLandDet.jsp?pnu=3611036026104380001&amp;isNoScr=script&amp;mode=search", "토지이음")</f>
        <v/>
      </c>
      <c r="O1869" s="3" t="inlineStr">
        <is>
          <t>연서</t>
        </is>
      </c>
      <c r="P1869" s="4" t="n">
        <v>1</v>
      </c>
      <c r="Q1869" s="4" t="n">
        <v>11425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급경사</t>
        </is>
      </c>
      <c r="U1869" s="3" t="inlineStr">
        <is>
          <t>부정형</t>
        </is>
      </c>
      <c r="V1869" s="3" t="inlineStr">
        <is>
          <t>세로각지(가)</t>
        </is>
      </c>
    </row>
    <row r="1870">
      <c r="A1870" s="3" t="inlineStr">
        <is>
          <t>연서면 쌍류리 451</t>
        </is>
      </c>
      <c r="B1870" s="3" t="inlineStr">
        <is>
          <t>생산관리지역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55680</v>
      </c>
      <c r="G1870" s="4" t="n">
        <v>1534</v>
      </c>
      <c r="H1870" s="4" t="n">
        <v>464</v>
      </c>
      <c r="I1870" s="5" t="n">
        <v>120</v>
      </c>
      <c r="J1870" s="5" t="n">
        <v>23.6</v>
      </c>
      <c r="K1870" s="3" t="inlineStr">
        <is>
          <t>평탄화 작업 완료하여, 전원생활을 위한 원형지를 찾는 분에게 추천</t>
        </is>
      </c>
      <c r="L1870" s="6">
        <f>HYPERLINK("https://fin.land.naver.com/articles/2652093390", "매물Link")</f>
        <v/>
      </c>
      <c r="M1870" s="6">
        <f>HYPERLINK("https://map.naver.com/p/search/연서면 쌍류리 451", "지도Link")</f>
        <v/>
      </c>
      <c r="N1870" s="6">
        <f>HYPERLINK("http://www.eum.go.kr/web/ar/lu/luLandDet.jsp?pnu=3611036026104510000&amp;isNoScr=script&amp;mode=search", "토지이음")</f>
        <v/>
      </c>
      <c r="O1870" s="3" t="inlineStr">
        <is>
          <t>미스터홈즈강남지사</t>
        </is>
      </c>
      <c r="P1870" s="4" t="n">
        <v>1</v>
      </c>
      <c r="Q1870" s="4" t="n">
        <v>1534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급경사</t>
        </is>
      </c>
      <c r="U1870" s="3" t="inlineStr">
        <is>
          <t>부정형</t>
        </is>
      </c>
      <c r="V1870" s="3" t="inlineStr">
        <is>
          <t>세로한면(불)</t>
        </is>
      </c>
    </row>
    <row r="1871">
      <c r="A1871" s="3" t="inlineStr">
        <is>
          <t>연서면 쌍류리 452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7000</v>
      </c>
      <c r="G1871" s="4" t="n">
        <v>496</v>
      </c>
      <c r="H1871" s="4" t="n">
        <v>150</v>
      </c>
      <c r="I1871" s="5" t="n">
        <v>46.7</v>
      </c>
      <c r="J1871" s="5" t="n">
        <v>15.2</v>
      </c>
      <c r="K1871" s="3" t="inlineStr">
        <is>
          <t>세종시 소규모 자본으로 투자 가능한땅,시멘트 포장도로접</t>
        </is>
      </c>
      <c r="L1871" s="6">
        <f>HYPERLINK("https://fin.land.naver.com/articles/2651793617", "매물Link")</f>
        <v/>
      </c>
      <c r="M1871" s="6">
        <f>HYPERLINK("https://map.naver.com/p/search/연서면 쌍류리 452", "지도Link")</f>
        <v/>
      </c>
      <c r="N1871" s="6">
        <f>HYPERLINK("http://www.eum.go.kr/web/ar/lu/luLandDet.jsp?pnu=3611036026104520000&amp;isNoScr=script&amp;mode=search", "토지이음")</f>
        <v/>
      </c>
      <c r="O1871" s="3" t="inlineStr">
        <is>
          <t>킹</t>
        </is>
      </c>
      <c r="P1871" s="4" t="n">
        <v>1</v>
      </c>
      <c r="Q1871" s="4" t="n">
        <v>496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쌍류리 452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7000</v>
      </c>
      <c r="G1872" s="4" t="n">
        <v>495</v>
      </c>
      <c r="H1872" s="4" t="n">
        <v>150</v>
      </c>
      <c r="I1872" s="5" t="n">
        <v>46.7</v>
      </c>
      <c r="J1872" s="5" t="n">
        <v>15.2</v>
      </c>
      <c r="K1872" s="3" t="inlineStr">
        <is>
          <t>세종시 고복저수지 인근 전원마을 내 수요가 많은 활용도 좋은 토지 매매</t>
        </is>
      </c>
      <c r="L1872" s="6">
        <f>HYPERLINK("https://fin.land.naver.com/articles/2655222422", "매물Link")</f>
        <v/>
      </c>
      <c r="M1872" s="6">
        <f>HYPERLINK("https://map.naver.com/p/search/연서면 쌍류리 452", "지도Link")</f>
        <v/>
      </c>
      <c r="N1872" s="6">
        <f>HYPERLINK("http://www.eum.go.kr/web/ar/lu/luLandDet.jsp?pnu=3611036026104520000&amp;isNoScr=script&amp;mode=search", "토지이음")</f>
        <v/>
      </c>
      <c r="O1872" s="3" t="inlineStr">
        <is>
          <t>원탑</t>
        </is>
      </c>
      <c r="P1872" s="4" t="n">
        <v>2</v>
      </c>
      <c r="Q1872" s="4" t="n">
        <v>496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쌍류리 454</t>
        </is>
      </c>
      <c r="B1873" s="3" t="inlineStr">
        <is>
          <t>생산관리지역</t>
        </is>
      </c>
      <c r="C1873" s="3" t="inlineStr">
        <is>
          <t>과수원</t>
        </is>
      </c>
      <c r="D1873" s="3" t="inlineStr">
        <is>
          <t>과수원</t>
        </is>
      </c>
      <c r="E1873" s="3" t="inlineStr">
        <is>
          <t>매매</t>
        </is>
      </c>
      <c r="F1873" s="4" t="n">
        <v>20000</v>
      </c>
      <c r="G1873" s="4" t="n">
        <v>1296</v>
      </c>
      <c r="H1873" s="4" t="n">
        <v>392</v>
      </c>
      <c r="I1873" s="5" t="n">
        <v>51</v>
      </c>
      <c r="J1873" s="5" t="n">
        <v>28.9</v>
      </c>
      <c r="K1873" s="3" t="inlineStr">
        <is>
          <t>세종 연서면 쌍류리 생산관리 과수원 매매</t>
        </is>
      </c>
      <c r="L1873" s="6">
        <f>HYPERLINK("https://fin.land.naver.com/articles/2653135471", "매물Link")</f>
        <v/>
      </c>
      <c r="M1873" s="6">
        <f>HYPERLINK("https://map.naver.com/p/search/연서면 쌍류리 454", "지도Link")</f>
        <v/>
      </c>
      <c r="N1873" s="6">
        <f>HYPERLINK("http://www.eum.go.kr/web/ar/lu/luLandDet.jsp?pnu=3611036026104540000&amp;isNoScr=script&amp;mode=search", "토지이음")</f>
        <v/>
      </c>
      <c r="O1873" s="3" t="inlineStr">
        <is>
          <t>세종몽땅</t>
        </is>
      </c>
      <c r="P1873" s="4" t="n">
        <v>1</v>
      </c>
      <c r="Q1873" s="4" t="n">
        <v>1296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459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27000</v>
      </c>
      <c r="G1874" s="4" t="n">
        <v>1983</v>
      </c>
      <c r="H1874" s="4" t="n">
        <v>600</v>
      </c>
      <c r="I1874" s="5" t="n">
        <v>45</v>
      </c>
      <c r="J1874" s="5" t="n">
        <v>23.1</v>
      </c>
      <c r="K1874" s="3" t="inlineStr">
        <is>
          <t>세종 연서면 쌍류리 생산관리 농지 매매</t>
        </is>
      </c>
      <c r="L1874" s="6">
        <f>HYPERLINK("https://fin.land.naver.com/articles/2653135048", "매물Link")</f>
        <v/>
      </c>
      <c r="M1874" s="6">
        <f>HYPERLINK("https://map.naver.com/p/search/연서면 쌍류리 459", "지도Link")</f>
        <v/>
      </c>
      <c r="N1874" s="6">
        <f>HYPERLINK("http://www.eum.go.kr/web/ar/lu/luLandDet.jsp?pnu=3611036026104590000&amp;isNoScr=script&amp;mode=search", "토지이음")</f>
        <v/>
      </c>
      <c r="O1874" s="3" t="inlineStr">
        <is>
          <t>세종몽땅</t>
        </is>
      </c>
      <c r="P1874" s="4" t="n">
        <v>1</v>
      </c>
      <c r="Q1874" s="4" t="n">
        <v>1983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쌍류리 472</t>
        </is>
      </c>
      <c r="B1875" s="3" t="inlineStr">
        <is>
          <t>계획관리지역</t>
        </is>
      </c>
      <c r="C1875" s="3" t="inlineStr">
        <is>
          <t>대</t>
        </is>
      </c>
      <c r="D1875" s="3" t="inlineStr">
        <is>
          <t>대</t>
        </is>
      </c>
      <c r="E1875" s="3" t="inlineStr">
        <is>
          <t>매매</t>
        </is>
      </c>
      <c r="F1875" s="4" t="n">
        <v>28000</v>
      </c>
      <c r="G1875" s="4" t="n">
        <v>714</v>
      </c>
      <c r="H1875" s="4" t="n">
        <v>216</v>
      </c>
      <c r="I1875" s="5" t="n">
        <v>129.6</v>
      </c>
      <c r="J1875" s="5" t="n">
        <v>47</v>
      </c>
      <c r="K1875" s="3" t="inlineStr">
        <is>
          <t>세종 연서면 쌍류리 계획관리 대지 매매</t>
        </is>
      </c>
      <c r="L1875" s="6">
        <f>HYPERLINK("https://fin.land.naver.com/articles/2653136773", "매물Link")</f>
        <v/>
      </c>
      <c r="M1875" s="6">
        <f>HYPERLINK("https://map.naver.com/p/search/연서면 쌍류리 472", "지도Link")</f>
        <v/>
      </c>
      <c r="N1875" s="6">
        <f>HYPERLINK("http://www.eum.go.kr/web/ar/lu/luLandDet.jsp?pnu=3611036026104720000&amp;isNoScr=script&amp;mode=search", "토지이음")</f>
        <v/>
      </c>
      <c r="O1875" s="3" t="inlineStr">
        <is>
          <t>세종몽땅</t>
        </is>
      </c>
      <c r="P1875" s="4" t="n">
        <v>1</v>
      </c>
      <c r="Q1875" s="4" t="n">
        <v>714</v>
      </c>
      <c r="R1875" s="3" t="inlineStr">
        <is>
          <t>지정되지않음</t>
        </is>
      </c>
      <c r="S1875" s="3" t="inlineStr">
        <is>
          <t>단독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세로한면(불)</t>
        </is>
      </c>
    </row>
    <row r="1876">
      <c r="A1876" s="3" t="inlineStr">
        <is>
          <t>연서면 쌍류리 53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57000</v>
      </c>
      <c r="G1876" s="4" t="n">
        <v>2734</v>
      </c>
      <c r="H1876" s="4" t="n">
        <v>827</v>
      </c>
      <c r="I1876" s="5" t="n">
        <v>68.90000000000001</v>
      </c>
      <c r="J1876" s="5" t="n">
        <v>24.9</v>
      </c>
      <c r="K1876" s="3" t="inlineStr">
        <is>
          <t>명성공인, 전용827, 연서면 생산관리 추천 매물</t>
        </is>
      </c>
      <c r="L1876" s="6">
        <f>HYPERLINK("https://fin.land.naver.com/articles/2656159630", "매물Link")</f>
        <v/>
      </c>
      <c r="M1876" s="6">
        <f>HYPERLINK("https://map.naver.com/p/search/연서면 쌍류리 53", "지도Link")</f>
        <v/>
      </c>
      <c r="N1876" s="6">
        <f>HYPERLINK("http://www.eum.go.kr/web/ar/lu/luLandDet.jsp?pnu=3611036026100530000&amp;isNoScr=script&amp;mode=search", "토지이음")</f>
        <v/>
      </c>
      <c r="O1876" s="3" t="inlineStr">
        <is>
          <t>명성</t>
        </is>
      </c>
      <c r="P1876" s="4" t="n">
        <v>2</v>
      </c>
      <c r="Q1876" s="4" t="n">
        <v>2734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쌍류리 56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27000</v>
      </c>
      <c r="G1877" s="4" t="n">
        <v>1342</v>
      </c>
      <c r="H1877" s="4" t="n">
        <v>406</v>
      </c>
      <c r="I1877" s="5" t="n">
        <v>66.5</v>
      </c>
      <c r="J1877" s="5" t="n">
        <v>22.8</v>
      </c>
      <c r="K1877" s="3" t="inlineStr">
        <is>
          <t>명성공인, 전용406, 연서면 추천 매물</t>
        </is>
      </c>
      <c r="L1877" s="6">
        <f>HYPERLINK("https://fin.land.naver.com/articles/2653839618", "매물Link")</f>
        <v/>
      </c>
      <c r="M1877" s="6">
        <f>HYPERLINK("https://map.naver.com/p/search/연서면 쌍류리 56", "지도Link")</f>
        <v/>
      </c>
      <c r="N1877" s="6">
        <f>HYPERLINK("http://www.eum.go.kr/web/ar/lu/luLandDet.jsp?pnu=3611036026100560000&amp;isNoScr=script&amp;mode=search", "토지이음")</f>
        <v/>
      </c>
      <c r="O1877" s="3" t="inlineStr">
        <is>
          <t>명성</t>
        </is>
      </c>
      <c r="P1877" s="4" t="n">
        <v>1</v>
      </c>
      <c r="Q1877" s="4" t="n">
        <v>1011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쌍류리 564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10000</v>
      </c>
      <c r="G1878" s="4" t="n">
        <v>1127</v>
      </c>
      <c r="H1878" s="4" t="n">
        <v>341</v>
      </c>
      <c r="I1878" s="5" t="n">
        <v>29.3</v>
      </c>
      <c r="J1878" s="5" t="n">
        <v>22</v>
      </c>
      <c r="K1878" s="3" t="inlineStr">
        <is>
          <t>관리지역 토지매매</t>
        </is>
      </c>
      <c r="L1878" s="6">
        <f>HYPERLINK("https://fin.land.naver.com/articles/2655032815", "매물Link")</f>
        <v/>
      </c>
      <c r="M1878" s="6">
        <f>HYPERLINK("https://map.naver.com/p/search/연서면 쌍류리 564", "지도Link")</f>
        <v/>
      </c>
      <c r="N1878" s="6">
        <f>HYPERLINK("http://www.eum.go.kr/web/ar/lu/luLandDet.jsp?pnu=3611036026105640000&amp;isNoScr=script&amp;mode=search", "토지이음")</f>
        <v/>
      </c>
      <c r="O1878" s="3" t="inlineStr">
        <is>
          <t>세종대박</t>
        </is>
      </c>
      <c r="P1878" s="4" t="n">
        <v>1</v>
      </c>
      <c r="Q1878" s="4" t="n">
        <v>1127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세로한면(불)</t>
        </is>
      </c>
    </row>
    <row r="1879">
      <c r="A1879" s="3" t="inlineStr">
        <is>
          <t>연서면 쌍류리 584-1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19160</v>
      </c>
      <c r="G1879" s="4" t="n">
        <v>1056</v>
      </c>
      <c r="H1879" s="4" t="n">
        <v>319</v>
      </c>
      <c r="I1879" s="5" t="n">
        <v>60.1</v>
      </c>
      <c r="J1879" s="5" t="n">
        <v>28.9</v>
      </c>
      <c r="K1879" s="3" t="inlineStr">
        <is>
          <t>세종시에서 1억원대에 투자할수 있는땅</t>
        </is>
      </c>
      <c r="L1879" s="6">
        <f>HYPERLINK("https://fin.land.naver.com/articles/2653381412", "매물Link")</f>
        <v/>
      </c>
      <c r="M1879" s="6">
        <f>HYPERLINK("https://map.naver.com/p/search/연서면 쌍류리 584-1", "지도Link")</f>
        <v/>
      </c>
      <c r="N1879" s="6">
        <f>HYPERLINK("http://www.eum.go.kr/web/ar/lu/luLandDet.jsp?pnu=3611036026105840001&amp;isNoScr=script&amp;mode=search", "토지이음")</f>
        <v/>
      </c>
      <c r="O1879" s="3" t="inlineStr">
        <is>
          <t>킹</t>
        </is>
      </c>
      <c r="P1879" s="4" t="n">
        <v>1</v>
      </c>
      <c r="Q1879" s="4" t="n">
        <v>1056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584-3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49500</v>
      </c>
      <c r="G1880" s="4" t="n">
        <v>2463</v>
      </c>
      <c r="H1880" s="4" t="n">
        <v>745</v>
      </c>
      <c r="I1880" s="5" t="n">
        <v>66.40000000000001</v>
      </c>
      <c r="J1880" s="5" t="n">
        <v>28.9</v>
      </c>
      <c r="K1880" s="3" t="inlineStr">
        <is>
          <t>도로접한 저렴한 토지매매</t>
        </is>
      </c>
      <c r="L1880" s="6">
        <f>HYPERLINK("https://fin.land.naver.com/articles/2651247524", "매물Link")</f>
        <v/>
      </c>
      <c r="M1880" s="6">
        <f>HYPERLINK("https://map.naver.com/p/search/연서면 쌍류리 584-3", "지도Link")</f>
        <v/>
      </c>
      <c r="N1880" s="6">
        <f>HYPERLINK("http://www.eum.go.kr/web/ar/lu/luLandDet.jsp?pnu=3611036026105840003&amp;isNoScr=script&amp;mode=search", "토지이음")</f>
        <v/>
      </c>
      <c r="O1880" s="3" t="inlineStr">
        <is>
          <t>세종토박이</t>
        </is>
      </c>
      <c r="P1880" s="4" t="n">
        <v>1</v>
      </c>
      <c r="Q1880" s="4" t="n">
        <v>1435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584-3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45000</v>
      </c>
      <c r="G1881" s="4" t="n">
        <v>2463</v>
      </c>
      <c r="H1881" s="4" t="n">
        <v>745</v>
      </c>
      <c r="I1881" s="5" t="n">
        <v>60.4</v>
      </c>
      <c r="J1881" s="5" t="n">
        <v>28.9</v>
      </c>
      <c r="K1881" s="3" t="inlineStr">
        <is>
          <t>쌍류리 저렴한 토지매매</t>
        </is>
      </c>
      <c r="L1881" s="6">
        <f>HYPERLINK("https://fin.land.naver.com/articles/2653075157", "매물Link")</f>
        <v/>
      </c>
      <c r="M1881" s="6">
        <f>HYPERLINK("https://map.naver.com/p/search/연서면 쌍류리 584-3", "지도Link")</f>
        <v/>
      </c>
      <c r="N1881" s="6">
        <f>HYPERLINK("http://www.eum.go.kr/web/ar/lu/luLandDet.jsp?pnu=3611036026105840003&amp;isNoScr=script&amp;mode=search", "토지이음")</f>
        <v/>
      </c>
      <c r="O1881" s="3" t="inlineStr">
        <is>
          <t>세종땅사랑</t>
        </is>
      </c>
      <c r="P1881" s="4" t="n">
        <v>1</v>
      </c>
      <c r="Q1881" s="4" t="n">
        <v>1435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세로한면(가)</t>
        </is>
      </c>
    </row>
    <row r="1882">
      <c r="A1882" s="3" t="inlineStr">
        <is>
          <t>연서면 쌍류리 6-11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46000</v>
      </c>
      <c r="G1882" s="4" t="n">
        <v>6289</v>
      </c>
      <c r="H1882" s="4" t="n">
        <v>1902</v>
      </c>
      <c r="I1882" s="5" t="n">
        <v>24.2</v>
      </c>
      <c r="J1882" s="5" t="n">
        <v>3</v>
      </c>
      <c r="K1882" s="3" t="inlineStr">
        <is>
          <t>연서면 2차선변 야산</t>
        </is>
      </c>
      <c r="L1882" s="6">
        <f>HYPERLINK("https://fin.land.naver.com/articles/2653950245", "매물Link")</f>
        <v/>
      </c>
      <c r="M1882" s="6">
        <f>HYPERLINK("https://map.naver.com/p/search/연서면 쌍류리 6-11", "지도Link")</f>
        <v/>
      </c>
      <c r="N1882" s="6">
        <f>HYPERLINK("http://www.eum.go.kr/web/ar/lu/luLandDet.jsp?pnu=3611036026100060011&amp;isNoScr=script&amp;mode=search", "토지이음")</f>
        <v/>
      </c>
      <c r="O1882" s="3" t="inlineStr">
        <is>
          <t>KB세종</t>
        </is>
      </c>
      <c r="P1882" s="4" t="n">
        <v>1</v>
      </c>
      <c r="Q1882" s="4" t="n">
        <v>6289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소로한면</t>
        </is>
      </c>
    </row>
    <row r="1883">
      <c r="A1883" s="3" t="inlineStr">
        <is>
          <t>연서면 쌍류리 608-4</t>
        </is>
      </c>
      <c r="B1883" s="3" t="inlineStr">
        <is>
          <t>보전관리지역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18000</v>
      </c>
      <c r="G1883" s="4" t="n">
        <v>500</v>
      </c>
      <c r="H1883" s="4" t="n">
        <v>151</v>
      </c>
      <c r="I1883" s="5" t="n">
        <v>119.2</v>
      </c>
      <c r="J1883" s="5" t="n">
        <v>25.4</v>
      </c>
      <c r="K1883" s="3" t="inlineStr">
        <is>
          <t>세종에서 1억원대에 투자할수 있는땅</t>
        </is>
      </c>
      <c r="L1883" s="6">
        <f>HYPERLINK("https://fin.land.naver.com/articles/2653381281", "매물Link")</f>
        <v/>
      </c>
      <c r="M1883" s="6">
        <f>HYPERLINK("https://map.naver.com/p/search/연서면 쌍류리 608-4", "지도Link")</f>
        <v/>
      </c>
      <c r="N1883" s="6">
        <f>HYPERLINK("http://www.eum.go.kr/web/ar/lu/luLandDet.jsp?pnu=3611036026106080004&amp;isNoScr=script&amp;mode=search",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500</v>
      </c>
      <c r="R1883" s="3" t="inlineStr">
        <is>
          <t>생산관리지역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706-99</t>
        </is>
      </c>
      <c r="B1884" s="3" t="inlineStr">
        <is>
          <t>생산관리지역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17000</v>
      </c>
      <c r="G1884" s="4" t="n">
        <v>522</v>
      </c>
      <c r="H1884" s="4" t="n">
        <v>158</v>
      </c>
      <c r="I1884" s="5" t="n">
        <v>107.6</v>
      </c>
      <c r="J1884" s="5" t="n">
        <v>32.8</v>
      </c>
      <c r="K1884" s="3" t="inlineStr">
        <is>
          <t>쌍류리 2차선길게 접한 코너각지 위치좋고 저렴한 토지</t>
        </is>
      </c>
      <c r="L1884" s="6">
        <f>HYPERLINK("https://fin.land.naver.com/articles/2651241272", "매물Link")</f>
        <v/>
      </c>
      <c r="M1884" s="6">
        <f>HYPERLINK("https://map.naver.com/p/search/연서면 쌍류리 706-99", "지도Link")</f>
        <v/>
      </c>
      <c r="N1884" s="6">
        <f>HYPERLINK("http://www.eum.go.kr/web/ar/lu/luLandDet.jsp?pnu=3611036026107060099&amp;isNoScr=script&amp;mode=search",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314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소로한면</t>
        </is>
      </c>
    </row>
    <row r="1885">
      <c r="A1885" s="3" t="inlineStr">
        <is>
          <t>연서면 쌍류리 706-99</t>
        </is>
      </c>
      <c r="B1885" s="3" t="inlineStr">
        <is>
          <t>생산관리지역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16300</v>
      </c>
      <c r="G1885" s="4" t="n">
        <v>522</v>
      </c>
      <c r="H1885" s="4" t="n">
        <v>158</v>
      </c>
      <c r="I1885" s="5" t="n">
        <v>103.2</v>
      </c>
      <c r="J1885" s="5" t="n">
        <v>32.8</v>
      </c>
      <c r="K1885" s="3" t="inlineStr">
        <is>
          <t>2차선 도로변의 접근성 좋은 급매 토지</t>
        </is>
      </c>
      <c r="L1885" s="6">
        <f>HYPERLINK("https://fin.land.naver.com/articles/2654839909", "매물Link")</f>
        <v/>
      </c>
      <c r="M1885" s="6">
        <f>HYPERLINK("https://map.naver.com/p/search/연서면 쌍류리 706-99", "지도Link")</f>
        <v/>
      </c>
      <c r="N1885" s="6">
        <f>HYPERLINK("http://www.eum.go.kr/web/ar/lu/luLandDet.jsp?pnu=3611036026107060099&amp;isNoScr=script&amp;mode=search", "토지이음")</f>
        <v/>
      </c>
      <c r="O1885" s="3" t="inlineStr">
        <is>
          <t>용궁</t>
        </is>
      </c>
      <c r="P1885" s="4" t="n">
        <v>1</v>
      </c>
      <c r="Q1885" s="4" t="n">
        <v>314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소로한면</t>
        </is>
      </c>
    </row>
    <row r="1886">
      <c r="A1886" s="3" t="inlineStr">
        <is>
          <t>연서면 쌍류리 94-12</t>
        </is>
      </c>
      <c r="B1886" s="3" t="inlineStr">
        <is>
          <t>생산관리지역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26560</v>
      </c>
      <c r="G1886" s="4" t="n">
        <v>477</v>
      </c>
      <c r="H1886" s="4" t="n">
        <v>144</v>
      </c>
      <c r="I1886" s="5" t="n">
        <v>184.4</v>
      </c>
      <c r="J1886" s="5" t="n">
        <v>30.2</v>
      </c>
      <c r="K1886" s="3" t="inlineStr">
        <is>
          <t>nan</t>
        </is>
      </c>
      <c r="L1886" s="6">
        <f>HYPERLINK("https://fin.land.naver.com/articles/2656194183", "매물Link")</f>
        <v/>
      </c>
      <c r="M1886" s="6">
        <f>HYPERLINK("https://map.naver.com/p/search/연서면 쌍류리 94-12", "지도Link")</f>
        <v/>
      </c>
      <c r="N1886" s="6">
        <f>HYPERLINK("http://www.eum.go.kr/web/ar/lu/luLandDet.jsp?pnu=3611036026100940012&amp;isNoScr=script&amp;mode=search", "토지이음")</f>
        <v/>
      </c>
      <c r="O1886" s="3" t="inlineStr">
        <is>
          <t>세종소담114</t>
        </is>
      </c>
      <c r="P1886" s="4" t="n">
        <v>1</v>
      </c>
      <c r="Q1886" s="4" t="n">
        <v>477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94-12</t>
        </is>
      </c>
      <c r="B1887" s="3" t="inlineStr">
        <is>
          <t>생산관리지역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26000</v>
      </c>
      <c r="G1887" s="4" t="n">
        <v>477</v>
      </c>
      <c r="H1887" s="4" t="n">
        <v>144</v>
      </c>
      <c r="I1887" s="5" t="n">
        <v>180.6</v>
      </c>
      <c r="J1887" s="5" t="n">
        <v>30.2</v>
      </c>
      <c r="K1887" s="3" t="inlineStr">
        <is>
          <t>근생 건축허가 및 전기,수도,통신 등 지하와 완료 즉시 신축가능</t>
        </is>
      </c>
      <c r="L1887" s="6">
        <f>HYPERLINK("https://fin.land.naver.com/articles/2654765481", "매물Link")</f>
        <v/>
      </c>
      <c r="M1887" s="6">
        <f>HYPERLINK("https://map.naver.com/p/search/연서면 쌍류리 94-12", "지도Link")</f>
        <v/>
      </c>
      <c r="N1887" s="6">
        <f>HYPERLINK("http://www.eum.go.kr/web/ar/lu/luLandDet.jsp?pnu=3611036026100940012&amp;isNoScr=script&amp;mode=search", "토지이음")</f>
        <v/>
      </c>
      <c r="O1887" s="3" t="inlineStr">
        <is>
          <t>세종나라</t>
        </is>
      </c>
      <c r="P1887" s="4" t="n">
        <v>2</v>
      </c>
      <c r="Q1887" s="4" t="n">
        <v>477</v>
      </c>
      <c r="R1887" s="3" t="inlineStr">
        <is>
          <t>지정되지않음</t>
        </is>
      </c>
      <c r="S1887" s="3" t="inlineStr">
        <is>
          <t>전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쌍전리 125-2</t>
        </is>
      </c>
      <c r="B1888" s="3" t="inlineStr">
        <is>
          <t>자연녹지지역</t>
        </is>
      </c>
      <c r="C1888" s="3" t="inlineStr">
        <is>
          <t>대</t>
        </is>
      </c>
      <c r="D1888" s="3" t="inlineStr">
        <is>
          <t>대</t>
        </is>
      </c>
      <c r="E1888" s="3" t="inlineStr">
        <is>
          <t>매매</t>
        </is>
      </c>
      <c r="F1888" s="4" t="n">
        <v>90000</v>
      </c>
      <c r="G1888" s="4" t="n">
        <v>813</v>
      </c>
      <c r="H1888" s="4" t="n">
        <v>246</v>
      </c>
      <c r="I1888" s="5" t="n">
        <v>365.9</v>
      </c>
      <c r="J1888" s="5" t="n">
        <v>74.90000000000001</v>
      </c>
      <c r="K1888" s="3" t="inlineStr">
        <is>
          <t>대지,도시근접</t>
        </is>
      </c>
      <c r="L1888" s="6">
        <f>HYPERLINK("https://fin.land.naver.com/articles/2654366971", "매물Link")</f>
        <v/>
      </c>
      <c r="M1888" s="6">
        <f>HYPERLINK("https://map.naver.com/p/search/연서면 쌍전리 125-2", "지도Link")</f>
        <v/>
      </c>
      <c r="N1888" s="6">
        <f>HYPERLINK("http://www.eum.go.kr/web/ar/lu/luLandDet.jsp?pnu=3611036022101250002&amp;isNoScr=script&amp;mode=search", "토지이음")</f>
        <v/>
      </c>
      <c r="O1888" s="3" t="inlineStr">
        <is>
          <t>평택지제역로얄</t>
        </is>
      </c>
      <c r="P1888" s="4" t="n">
        <v>1</v>
      </c>
      <c r="Q1888" s="4" t="n">
        <v>813</v>
      </c>
      <c r="R1888" s="3" t="inlineStr">
        <is>
          <t>지정되지않음</t>
        </is>
      </c>
      <c r="S1888" s="3" t="inlineStr">
        <is>
          <t>주거나지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쌍전리 140-2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27000</v>
      </c>
      <c r="G1889" s="4" t="n">
        <v>700</v>
      </c>
      <c r="H1889" s="4" t="n">
        <v>212</v>
      </c>
      <c r="I1889" s="5" t="n">
        <v>127.4</v>
      </c>
      <c r="J1889" s="5" t="n">
        <v>55.9</v>
      </c>
      <c r="K1889" s="3" t="inlineStr">
        <is>
          <t>토지거래허가구역에서 제외된 토지. 향후 미래가치가 높은 소액투자로 추천.</t>
        </is>
      </c>
      <c r="L1889" s="6">
        <f>HYPERLINK("https://fin.land.naver.com/articles/2655088515", "매물Link")</f>
        <v/>
      </c>
      <c r="M1889" s="6">
        <f>HYPERLINK("https://map.naver.com/p/search/연서면 쌍전리 140-2", "지도Link")</f>
        <v/>
      </c>
      <c r="N1889" s="6">
        <f>HYPERLINK("http://www.eum.go.kr/web/ar/lu/luLandDet.jsp?pnu=3611036022101400002&amp;isNoScr=script&amp;mode=search", "토지이음")</f>
        <v/>
      </c>
      <c r="O1889" s="3" t="inlineStr">
        <is>
          <t>세종대장</t>
        </is>
      </c>
      <c r="P1889" s="4" t="n">
        <v>2</v>
      </c>
      <c r="Q1889" s="4" t="n">
        <v>510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쌍전리 154-2</t>
        </is>
      </c>
      <c r="B1890" s="3" t="inlineStr">
        <is>
          <t>자연녹지지역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20000</v>
      </c>
      <c r="G1890" s="4" t="n">
        <v>522</v>
      </c>
      <c r="H1890" s="4" t="n">
        <v>158</v>
      </c>
      <c r="I1890" s="5" t="n">
        <v>126.6</v>
      </c>
      <c r="J1890" s="5" t="n">
        <v>62.5</v>
      </c>
      <c r="K1890" s="3" t="inlineStr">
        <is>
          <t>nan</t>
        </is>
      </c>
      <c r="L1890" s="6">
        <f>HYPERLINK("https://fin.land.naver.com/articles/2656279616", "매물Link")</f>
        <v/>
      </c>
      <c r="M1890" s="6">
        <f>HYPERLINK("https://map.naver.com/p/search/연서면 쌍전리 154-2", "지도Link")</f>
        <v/>
      </c>
      <c r="N1890" s="6">
        <f>HYPERLINK("http://www.eum.go.kr/web/ar/lu/luLandDet.jsp?pnu=3611036022101540002&amp;isNoScr=script&amp;mode=search", "토지이음")</f>
        <v/>
      </c>
      <c r="O1890" s="3" t="inlineStr">
        <is>
          <t>세종가온채</t>
        </is>
      </c>
      <c r="P1890" s="4" t="n">
        <v>2</v>
      </c>
      <c r="Q1890" s="4" t="n">
        <v>522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쌍전리 177-1</t>
        </is>
      </c>
      <c r="B1891" s="3" t="inlineStr">
        <is>
          <t>자연녹지지역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39000</v>
      </c>
      <c r="G1891" s="4" t="n">
        <v>630</v>
      </c>
      <c r="H1891" s="4" t="n">
        <v>191</v>
      </c>
      <c r="I1891" s="5" t="n">
        <v>204.2</v>
      </c>
      <c r="J1891" s="5" t="n">
        <v>51.2</v>
      </c>
      <c r="K1891" s="3" t="inlineStr">
        <is>
          <t>과수원 도시지역 자연녹지 630제곱미터 매매 금액협의</t>
        </is>
      </c>
      <c r="L1891" s="6">
        <f>HYPERLINK("https://fin.land.naver.com/articles/2652904184", "매물Link")</f>
        <v/>
      </c>
      <c r="M1891" s="6">
        <f>HYPERLINK("https://map.naver.com/p/search/연서면 쌍전리 177-1", "지도Link")</f>
        <v/>
      </c>
      <c r="N1891" s="6">
        <f>HYPERLINK("http://www.eum.go.kr/web/ar/lu/luLandDet.jsp?pnu=3611036022101770001&amp;isNoScr=script&amp;mode=search", "토지이음")</f>
        <v/>
      </c>
      <c r="O1891" s="3" t="inlineStr">
        <is>
          <t>오송원</t>
        </is>
      </c>
      <c r="P1891" s="4" t="n">
        <v>1</v>
      </c>
      <c r="Q1891" s="4" t="n">
        <v>1260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쌍전리 405-4</t>
        </is>
      </c>
      <c r="B1892" s="3" t="inlineStr">
        <is>
          <t>자연녹지지역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81000</v>
      </c>
      <c r="G1892" s="4" t="n">
        <v>1498</v>
      </c>
      <c r="H1892" s="4" t="n">
        <v>453</v>
      </c>
      <c r="I1892" s="5" t="n">
        <v>178.8</v>
      </c>
      <c r="J1892" s="5" t="n">
        <v>24.2</v>
      </c>
      <c r="K1892" s="3" t="inlineStr">
        <is>
          <t>자연녹지 임야 매매</t>
        </is>
      </c>
      <c r="L1892" s="6">
        <f>HYPERLINK("https://fin.land.naver.com/articles/2655032819", "매물Link")</f>
        <v/>
      </c>
      <c r="M1892" s="6">
        <f>HYPERLINK("https://map.naver.com/p/search/연서면 쌍전리 405-4", "지도Link")</f>
        <v/>
      </c>
      <c r="N1892" s="6">
        <f>HYPERLINK("http://www.eum.go.kr/web/ar/lu/luLandDet.jsp?pnu=3611036022104050004&amp;isNoScr=script&amp;mode=search", "토지이음")</f>
        <v/>
      </c>
      <c r="O1892" s="3" t="inlineStr">
        <is>
          <t>세종대박</t>
        </is>
      </c>
      <c r="P1892" s="4" t="n">
        <v>1</v>
      </c>
      <c r="Q1892" s="4" t="n">
        <v>1498</v>
      </c>
      <c r="R1892" s="3" t="inlineStr">
        <is>
          <t>지정되지않음</t>
        </is>
      </c>
      <c r="S1892" s="3" t="inlineStr">
        <is>
          <t>자연림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세로한면(불)</t>
        </is>
      </c>
    </row>
    <row r="1893">
      <c r="A1893" s="3" t="inlineStr">
        <is>
          <t>연서면 쌍전리 419-2</t>
        </is>
      </c>
      <c r="B1893" s="3" t="inlineStr">
        <is>
          <t>자연녹지지역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92500</v>
      </c>
      <c r="G1893" s="4" t="n">
        <v>2043</v>
      </c>
      <c r="H1893" s="4" t="n">
        <v>618</v>
      </c>
      <c r="I1893" s="5" t="n">
        <v>149.7</v>
      </c>
      <c r="J1893" s="5" t="n">
        <v>46.5</v>
      </c>
      <c r="K1893" s="3" t="inlineStr">
        <is>
          <t>급매 지대가 높아 조망이 좋은 전원주택지 및 과수원으로 활용</t>
        </is>
      </c>
      <c r="L1893" s="6">
        <f>HYPERLINK("https://fin.land.naver.com/articles/2654812462", "매물Link")</f>
        <v/>
      </c>
      <c r="M1893" s="6">
        <f>HYPERLINK("https://map.naver.com/p/search/연서면 쌍전리 419-2", "지도Link")</f>
        <v/>
      </c>
      <c r="N1893" s="6">
        <f>HYPERLINK("http://www.eum.go.kr/web/ar/lu/luLandDet.jsp?pnu=3611036022104190002&amp;isNoScr=script&amp;mode=search", "토지이음")</f>
        <v/>
      </c>
      <c r="O1893" s="3" t="inlineStr">
        <is>
          <t>스마일세종</t>
        </is>
      </c>
      <c r="P1893" s="4" t="n">
        <v>1</v>
      </c>
      <c r="Q1893" s="4" t="n">
        <v>2043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427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62500</v>
      </c>
      <c r="G1894" s="4" t="n">
        <v>820</v>
      </c>
      <c r="H1894" s="4" t="n">
        <v>248</v>
      </c>
      <c r="I1894" s="5" t="n">
        <v>252</v>
      </c>
      <c r="J1894" s="5" t="n">
        <v>87.2</v>
      </c>
      <c r="K1894" s="3" t="inlineStr">
        <is>
          <t>투자용,상세설명참조</t>
        </is>
      </c>
      <c r="L1894" s="6">
        <f>HYPERLINK("https://fin.land.naver.com/articles/2652097120", "매물Link")</f>
        <v/>
      </c>
      <c r="M1894" s="6">
        <f>HYPERLINK("https://map.naver.com/p/search/연서면 쌍전리 427", "지도Link")</f>
        <v/>
      </c>
      <c r="N1894" s="6">
        <f>HYPERLINK("http://www.eum.go.kr/web/ar/lu/luLandDet.jsp?pnu=3611036022104270000&amp;isNoScr=script&amp;mode=search", "토지이음")</f>
        <v/>
      </c>
      <c r="O1894" s="3" t="inlineStr">
        <is>
          <t>지호주식회사</t>
        </is>
      </c>
      <c r="P1894" s="4" t="n">
        <v>1</v>
      </c>
      <c r="Q1894" s="4" t="n">
        <v>820</v>
      </c>
      <c r="R1894" s="3" t="inlineStr">
        <is>
          <t>지정되지않음</t>
        </is>
      </c>
      <c r="S1894" s="3" t="inlineStr">
        <is>
          <t>주거기타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433-1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36000</v>
      </c>
      <c r="G1895" s="4" t="n">
        <v>1230</v>
      </c>
      <c r="H1895" s="4" t="n">
        <v>372</v>
      </c>
      <c r="I1895" s="5" t="n">
        <v>96.8</v>
      </c>
      <c r="J1895" s="5" t="n">
        <v>86.3</v>
      </c>
      <c r="K1895" s="3" t="inlineStr">
        <is>
          <t>nan</t>
        </is>
      </c>
      <c r="L1895" s="6">
        <f>HYPERLINK("https://fin.land.naver.com/articles/2655392760", "매물Link")</f>
        <v/>
      </c>
      <c r="M1895" s="6">
        <f>HYPERLINK("https://map.naver.com/p/search/연서면 쌍전리 433-1", "지도Link")</f>
        <v/>
      </c>
      <c r="N1895" s="6">
        <f>HYPERLINK("http://www.eum.go.kr/web/ar/lu/luLandDet.jsp?pnu=3611036022104330001&amp;isNoScr=script&amp;mode=search", "토지이음")</f>
        <v/>
      </c>
      <c r="O1895" s="3" t="inlineStr">
        <is>
          <t>KB세종</t>
        </is>
      </c>
      <c r="P1895" s="4" t="n">
        <v>1</v>
      </c>
      <c r="Q1895" s="4" t="n">
        <v>1230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쌍전리 457-9</t>
        </is>
      </c>
      <c r="B1896" s="3" t="inlineStr">
        <is>
          <t>계획관리지역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105500</v>
      </c>
      <c r="G1896" s="4" t="n">
        <v>1293</v>
      </c>
      <c r="H1896" s="4" t="n">
        <v>391</v>
      </c>
      <c r="I1896" s="5" t="n">
        <v>269.8</v>
      </c>
      <c r="J1896" s="5" t="n">
        <v>49.1</v>
      </c>
      <c r="K1896" s="3" t="inlineStr">
        <is>
          <t>세종시 연서면 농협인근 토지 계획관리.매매</t>
        </is>
      </c>
      <c r="L1896" s="6">
        <f>HYPERLINK("https://fin.land.naver.com/articles/2652504314", "매물Link")</f>
        <v/>
      </c>
      <c r="M1896" s="6">
        <f>HYPERLINK("https://map.naver.com/p/search/연서면 쌍전리 457-9", "지도Link")</f>
        <v/>
      </c>
      <c r="N1896" s="6">
        <f>HYPERLINK("http://www.eum.go.kr/web/ar/lu/luLandDet.jsp?pnu=3611036022104570009&amp;isNoScr=script&amp;mode=search", "토지이음")</f>
        <v/>
      </c>
      <c r="O1896" s="3" t="inlineStr">
        <is>
          <t>동원</t>
        </is>
      </c>
      <c r="P1896" s="4" t="n">
        <v>1</v>
      </c>
      <c r="Q1896" s="4" t="n">
        <v>1293</v>
      </c>
      <c r="R1896" s="3" t="inlineStr">
        <is>
          <t>자연녹지지역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쌍전리 463-1</t>
        </is>
      </c>
      <c r="B1897" s="3" t="inlineStr">
        <is>
          <t>계획관리지역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86700</v>
      </c>
      <c r="G1897" s="4" t="n">
        <v>957</v>
      </c>
      <c r="H1897" s="4" t="n">
        <v>289</v>
      </c>
      <c r="I1897" s="5" t="n">
        <v>300</v>
      </c>
      <c r="J1897" s="5" t="n">
        <v>44.1</v>
      </c>
      <c r="K1897" s="3" t="inlineStr">
        <is>
          <t>매매합니다</t>
        </is>
      </c>
      <c r="L1897" s="6">
        <f>HYPERLINK("https://fin.land.naver.com/articles/2655758166", "매물Link")</f>
        <v/>
      </c>
      <c r="M1897" s="6">
        <f>HYPERLINK("https://map.naver.com/p/search/연서면 쌍전리 463-1", "지도Link")</f>
        <v/>
      </c>
      <c r="N1897" s="6">
        <f>HYPERLINK("http://www.eum.go.kr/web/ar/lu/luLandDet.jsp?pnu=3611036022104630001&amp;isNoScr=script&amp;mode=search", "토지이음")</f>
        <v/>
      </c>
      <c r="O1897" s="3" t="inlineStr">
        <is>
          <t>마니</t>
        </is>
      </c>
      <c r="P1897" s="4" t="n">
        <v>2</v>
      </c>
      <c r="Q1897" s="4" t="n">
        <v>957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평지</t>
        </is>
      </c>
      <c r="U1897" s="3" t="inlineStr">
        <is>
          <t>사다리형</t>
        </is>
      </c>
      <c r="V1897" s="3" t="inlineStr">
        <is>
          <t>세로한면(불)</t>
        </is>
      </c>
    </row>
    <row r="1898">
      <c r="A1898" s="3" t="inlineStr">
        <is>
          <t>연서면 쌍전리 464-3</t>
        </is>
      </c>
      <c r="B1898" s="3" t="inlineStr">
        <is>
          <t>계획관리지역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135000</v>
      </c>
      <c r="G1898" s="4" t="n">
        <v>2626</v>
      </c>
      <c r="H1898" s="4" t="n">
        <v>794</v>
      </c>
      <c r="I1898" s="5" t="n">
        <v>170</v>
      </c>
      <c r="J1898" s="5" t="n">
        <v>44.1</v>
      </c>
      <c r="K1898" s="3" t="inlineStr">
        <is>
          <t>2차선도로와 본 토지 사이에 국유지가 있어 점용허가를 받아 넓게 사용가능</t>
        </is>
      </c>
      <c r="L1898" s="6">
        <f>HYPERLINK("https://fin.land.naver.com/articles/2654526611", "매물Link")</f>
        <v/>
      </c>
      <c r="M1898" s="6">
        <f>HYPERLINK("https://map.naver.com/p/search/연서면 쌍전리 464-3", "지도Link")</f>
        <v/>
      </c>
      <c r="N1898" s="6">
        <f>HYPERLINK("http://www.eum.go.kr/web/ar/lu/luLandDet.jsp?pnu=3611036022104640003&amp;isNoScr=script&amp;mode=search", "토지이음")</f>
        <v/>
      </c>
      <c r="O1898" s="3" t="inlineStr">
        <is>
          <t>스마일세종</t>
        </is>
      </c>
      <c r="P1898" s="4" t="n">
        <v>1</v>
      </c>
      <c r="Q1898" s="4" t="n">
        <v>2626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세로한면(불)</t>
        </is>
      </c>
    </row>
    <row r="1899">
      <c r="A1899" s="3" t="inlineStr">
        <is>
          <t>연서면 쌍전리 513</t>
        </is>
      </c>
      <c r="B1899" s="3" t="inlineStr">
        <is>
          <t>농림지역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83000</v>
      </c>
      <c r="G1899" s="4" t="n">
        <v>3454</v>
      </c>
      <c r="H1899" s="4" t="n">
        <v>1045</v>
      </c>
      <c r="I1899" s="5" t="n">
        <v>79.40000000000001</v>
      </c>
      <c r="J1899" s="5" t="n">
        <v>27.2</v>
      </c>
      <c r="K1899" s="3" t="inlineStr">
        <is>
          <t>북세종IC 인근 농림지역으로 투자가치 높고 저렴한 가격인 대토로 추천.</t>
        </is>
      </c>
      <c r="L1899" s="6">
        <f>HYPERLINK("https://fin.land.naver.com/articles/2650939648", "매물Link")</f>
        <v/>
      </c>
      <c r="M1899" s="6">
        <f>HYPERLINK("https://map.naver.com/p/search/연서면 쌍전리 513", "지도Link")</f>
        <v/>
      </c>
      <c r="N1899" s="6">
        <f>HYPERLINK("http://www.eum.go.kr/web/ar/lu/luLandDet.jsp?pnu=3611036022105130000&amp;isNoScr=script&amp;mode=search", "토지이음")</f>
        <v/>
      </c>
      <c r="O1899" s="3" t="inlineStr">
        <is>
          <t>세종대장</t>
        </is>
      </c>
      <c r="P1899" s="4" t="n">
        <v>1</v>
      </c>
      <c r="Q1899" s="4" t="n">
        <v>3454.8</v>
      </c>
      <c r="R1899" s="3" t="inlineStr">
        <is>
          <t>지정되지않음</t>
        </is>
      </c>
      <c r="S1899" s="3" t="inlineStr">
        <is>
          <t>답</t>
        </is>
      </c>
      <c r="T1899" s="3" t="inlineStr">
        <is>
          <t>평지</t>
        </is>
      </c>
      <c r="U1899" s="3" t="inlineStr">
        <is>
          <t>세로장방</t>
        </is>
      </c>
      <c r="V1899" s="3" t="inlineStr">
        <is>
          <t>세로한면(가)</t>
        </is>
      </c>
    </row>
    <row r="1900">
      <c r="A1900" s="3" t="inlineStr">
        <is>
          <t>연서면 쌍전리 580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58000</v>
      </c>
      <c r="G1900" s="4" t="n">
        <v>2557</v>
      </c>
      <c r="H1900" s="4" t="n">
        <v>773</v>
      </c>
      <c r="I1900" s="5" t="n">
        <v>75</v>
      </c>
      <c r="J1900" s="5" t="n">
        <v>28.3</v>
      </c>
      <c r="K1900" s="3" t="inlineStr">
        <is>
          <t>도로접한 농림지역, 인근 북세종IC예정</t>
        </is>
      </c>
      <c r="L1900" s="6">
        <f>HYPERLINK("https://fin.land.naver.com/articles/2655032802", "매물Link")</f>
        <v/>
      </c>
      <c r="M1900" s="6">
        <f>HYPERLINK("https://map.naver.com/p/search/연서면 쌍전리 580", "지도Link")</f>
        <v/>
      </c>
      <c r="N1900" s="6">
        <f>HYPERLINK("http://www.eum.go.kr/web/ar/lu/luLandDet.jsp?pnu=3611036022105800000&amp;isNoScr=script&amp;mode=search", "토지이음")</f>
        <v/>
      </c>
      <c r="O1900" s="3" t="inlineStr">
        <is>
          <t>세종대박</t>
        </is>
      </c>
      <c r="P1900" s="4" t="n">
        <v>1</v>
      </c>
      <c r="Q1900" s="4" t="n">
        <v>2557.2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세로장방</t>
        </is>
      </c>
      <c r="V1900" s="3" t="inlineStr">
        <is>
          <t>세로한면(가)</t>
        </is>
      </c>
    </row>
    <row r="1901">
      <c r="A1901" s="3" t="inlineStr">
        <is>
          <t>연서면 쌍전리 584</t>
        </is>
      </c>
      <c r="B1901" s="3" t="inlineStr">
        <is>
          <t>농림지역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136000</v>
      </c>
      <c r="G1901" s="4" t="n">
        <v>5295</v>
      </c>
      <c r="H1901" s="4" t="n">
        <v>1602</v>
      </c>
      <c r="I1901" s="5" t="n">
        <v>84.90000000000001</v>
      </c>
      <c r="J1901" s="5" t="n">
        <v>28.3</v>
      </c>
      <c r="K1901" s="3" t="inlineStr">
        <is>
          <t>대토로도 좋은 도로접한 농지입니다</t>
        </is>
      </c>
      <c r="L1901" s="6">
        <f>HYPERLINK("https://fin.land.naver.com/articles/2652124438", "매물Link")</f>
        <v/>
      </c>
      <c r="M1901" s="6">
        <f>HYPERLINK("https://map.naver.com/p/search/연서면 쌍전리 584", "지도Link")</f>
        <v/>
      </c>
      <c r="N1901" s="6">
        <f>HYPERLINK("http://www.eum.go.kr/web/ar/lu/luLandDet.jsp?pnu=3611036022105840000&amp;isNoScr=script&amp;mode=search", "토지이음")</f>
        <v/>
      </c>
      <c r="O1901" s="3" t="inlineStr">
        <is>
          <t>미스터홈즈강남지사</t>
        </is>
      </c>
      <c r="P1901" s="4" t="n">
        <v>2</v>
      </c>
      <c r="Q1901" s="4" t="n">
        <v>5295.3</v>
      </c>
      <c r="R1901" s="3" t="inlineStr">
        <is>
          <t>지정되지않음</t>
        </is>
      </c>
      <c r="S1901" s="3" t="inlineStr">
        <is>
          <t>답</t>
        </is>
      </c>
      <c r="T1901" s="3" t="inlineStr">
        <is>
          <t>평지</t>
        </is>
      </c>
      <c r="U1901" s="3" t="inlineStr">
        <is>
          <t>세로장방</t>
        </is>
      </c>
      <c r="V1901" s="3" t="inlineStr">
        <is>
          <t>세로한면(가)</t>
        </is>
      </c>
    </row>
    <row r="1902">
      <c r="A1902" s="3" t="inlineStr">
        <is>
          <t>연서면 쌍전리 619</t>
        </is>
      </c>
      <c r="B1902" s="3" t="inlineStr">
        <is>
          <t>농림지역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120000</v>
      </c>
      <c r="G1902" s="4" t="n">
        <v>3607</v>
      </c>
      <c r="H1902" s="4" t="n">
        <v>1091</v>
      </c>
      <c r="I1902" s="5" t="n">
        <v>110</v>
      </c>
      <c r="J1902" s="5" t="n">
        <v>30.3</v>
      </c>
      <c r="K1902" s="3" t="inlineStr">
        <is>
          <t>도로 접한 코너 답 토지 접근성 우수</t>
        </is>
      </c>
      <c r="L1902" s="6">
        <f>HYPERLINK("https://fin.land.naver.com/articles/2655418963", "매물Link")</f>
        <v/>
      </c>
      <c r="M1902" s="6">
        <f>HYPERLINK("https://map.naver.com/p/search/연서면 쌍전리 619", "지도Link")</f>
        <v/>
      </c>
      <c r="N1902" s="6">
        <f>HYPERLINK("http://www.eum.go.kr/web/ar/lu/luLandDet.jsp?pnu=3611036022106190000&amp;isNoScr=script&amp;mode=search", "토지이음")</f>
        <v/>
      </c>
      <c r="O1902" s="3" t="inlineStr">
        <is>
          <t>몬스터</t>
        </is>
      </c>
      <c r="P1902" s="4" t="n">
        <v>1</v>
      </c>
      <c r="Q1902" s="4" t="n">
        <v>3607.3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세로장방</t>
        </is>
      </c>
      <c r="V1902" s="3" t="inlineStr">
        <is>
          <t>소로한면</t>
        </is>
      </c>
    </row>
    <row r="1903">
      <c r="A1903" s="3" t="inlineStr">
        <is>
          <t>연서면 쌍전리 684</t>
        </is>
      </c>
      <c r="B1903" s="3" t="inlineStr">
        <is>
          <t>농림지역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70000</v>
      </c>
      <c r="G1903" s="4" t="n">
        <v>1015</v>
      </c>
      <c r="H1903" s="4" t="n">
        <v>307</v>
      </c>
      <c r="I1903" s="5" t="n">
        <v>228</v>
      </c>
      <c r="J1903" s="5" t="n">
        <v>30.3</v>
      </c>
      <c r="K1903" s="3" t="inlineStr">
        <is>
          <t>2차선접,대토강추,투자가치최고</t>
        </is>
      </c>
      <c r="L1903" s="6">
        <f>HYPERLINK("https://fin.land.naver.com/articles/2654055320", "매물Link")</f>
        <v/>
      </c>
      <c r="M1903" s="6">
        <f>HYPERLINK("https://map.naver.com/p/search/연서면 쌍전리 684", "지도Link")</f>
        <v/>
      </c>
      <c r="N1903" s="6">
        <f>HYPERLINK("http://www.eum.go.kr/web/ar/lu/luLandDet.jsp?pnu=3611036022106840000&amp;isNoScr=script&amp;mode=search", "토지이음")</f>
        <v/>
      </c>
      <c r="O1903" s="3" t="inlineStr">
        <is>
          <t>힐스테이트행복</t>
        </is>
      </c>
      <c r="P1903" s="4" t="n">
        <v>1</v>
      </c>
      <c r="Q1903" s="4" t="n">
        <v>1015.5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세로장방</t>
        </is>
      </c>
      <c r="V1903" s="3" t="inlineStr">
        <is>
          <t>소로한면</t>
        </is>
      </c>
    </row>
    <row r="1904">
      <c r="A1904" s="3" t="inlineStr">
        <is>
          <t>연서면 쌍전리 684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70000</v>
      </c>
      <c r="G1904" s="4" t="n">
        <v>1015</v>
      </c>
      <c r="H1904" s="4" t="n">
        <v>307</v>
      </c>
      <c r="I1904" s="5" t="n">
        <v>228</v>
      </c>
      <c r="J1904" s="5" t="n">
        <v>30.3</v>
      </c>
      <c r="K1904" s="3" t="inlineStr">
        <is>
          <t>성토완료된 4차선계획도 접한 토지</t>
        </is>
      </c>
      <c r="L1904" s="6">
        <f>HYPERLINK("https://fin.land.naver.com/articles/2656300445", "매물Link")</f>
        <v/>
      </c>
      <c r="M1904" s="6">
        <f>HYPERLINK("https://map.naver.com/p/search/연서면 쌍전리 684", "지도Link")</f>
        <v/>
      </c>
      <c r="N1904" s="6">
        <f>HYPERLINK("http://www.eum.go.kr/web/ar/lu/luLandDet.jsp?pnu=3611036022106840000&amp;isNoScr=script&amp;mode=search", "토지이음")</f>
        <v/>
      </c>
      <c r="O1904" s="3" t="inlineStr">
        <is>
          <t>가치잇는</t>
        </is>
      </c>
      <c r="P1904" s="4" t="n">
        <v>8</v>
      </c>
      <c r="Q1904" s="4" t="n">
        <v>1015.5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소로한면</t>
        </is>
      </c>
    </row>
    <row r="1905">
      <c r="A1905" s="3" t="inlineStr">
        <is>
          <t>연서면 쌍전리 684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70000</v>
      </c>
      <c r="G1905" s="4" t="n">
        <v>1016</v>
      </c>
      <c r="H1905" s="4" t="n">
        <v>307</v>
      </c>
      <c r="I1905" s="5" t="n">
        <v>228</v>
      </c>
      <c r="J1905" s="5" t="n">
        <v>30.3</v>
      </c>
      <c r="K1905" s="3" t="inlineStr">
        <is>
          <t>nan</t>
        </is>
      </c>
      <c r="L1905" s="6">
        <f>HYPERLINK("https://fin.land.naver.com/articles/2651396918", "매물Link")</f>
        <v/>
      </c>
      <c r="M1905" s="6">
        <f>HYPERLINK("https://map.naver.com/p/search/연서면 쌍전리 684", "지도Link")</f>
        <v/>
      </c>
      <c r="N1905" s="6">
        <f>HYPERLINK("http://www.eum.go.kr/web/ar/lu/luLandDet.jsp?pnu=3611036022106840000&amp;isNoScr=script&amp;mode=search", "토지이음")</f>
        <v/>
      </c>
      <c r="O1905" s="3" t="inlineStr">
        <is>
          <t>로데오상가</t>
        </is>
      </c>
      <c r="P1905" s="4" t="n">
        <v>2</v>
      </c>
      <c r="Q1905" s="4" t="n">
        <v>1015.5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소로한면</t>
        </is>
      </c>
    </row>
    <row r="1906">
      <c r="A1906" s="3" t="inlineStr">
        <is>
          <t>연서면 쌍전리 산18-6</t>
        </is>
      </c>
      <c r="B1906" s="3" t="inlineStr">
        <is>
          <t>자연녹지지역</t>
        </is>
      </c>
      <c r="C1906" s="3" t="inlineStr">
        <is>
          <t>임야</t>
        </is>
      </c>
      <c r="D1906" s="3" t="inlineStr">
        <is>
          <t>임야</t>
        </is>
      </c>
      <c r="E1906" s="3" t="inlineStr">
        <is>
          <t>매매</t>
        </is>
      </c>
      <c r="F1906" s="4" t="n">
        <v>196000</v>
      </c>
      <c r="G1906" s="4" t="n">
        <v>6318</v>
      </c>
      <c r="H1906" s="4" t="n">
        <v>1911</v>
      </c>
      <c r="I1906" s="5" t="n">
        <v>102.6</v>
      </c>
      <c r="J1906" s="5" t="n">
        <v>21.7</v>
      </c>
      <c r="K1906" s="3" t="inlineStr">
        <is>
          <t>연서면 쌍전리 임야와 과수원을 일괄하여 급매로 매매합니다</t>
        </is>
      </c>
      <c r="L1906" s="6">
        <f>HYPERLINK("https://fin.land.naver.com/articles/2654812838", "매물Link")</f>
        <v/>
      </c>
      <c r="M1906" s="6">
        <f>HYPERLINK("https://map.naver.com/p/search/연서면 쌍전리 산18-6", "지도Link")</f>
        <v/>
      </c>
      <c r="N1906" s="6">
        <f>HYPERLINK("http://www.eum.go.kr/web/ar/lu/luLandDet.jsp?pnu=3611036022200180006&amp;isNoScr=script&amp;mode=search",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1463</v>
      </c>
      <c r="R1906" s="3" t="inlineStr">
        <is>
          <t>지정되지않음</t>
        </is>
      </c>
      <c r="S1906" s="3" t="inlineStr">
        <is>
          <t>자연림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쌍전리 산29-1</t>
        </is>
      </c>
      <c r="B1907" s="3" t="inlineStr">
        <is>
          <t>자연녹지지역</t>
        </is>
      </c>
      <c r="C1907" s="3" t="inlineStr">
        <is>
          <t>임야</t>
        </is>
      </c>
      <c r="D1907" s="3" t="inlineStr">
        <is>
          <t>임야</t>
        </is>
      </c>
      <c r="E1907" s="3" t="inlineStr">
        <is>
          <t>매매</t>
        </is>
      </c>
      <c r="F1907" s="4" t="n">
        <v>218500</v>
      </c>
      <c r="G1907" s="4" t="n">
        <v>7223</v>
      </c>
      <c r="H1907" s="4" t="n">
        <v>2185</v>
      </c>
      <c r="I1907" s="5" t="n">
        <v>100</v>
      </c>
      <c r="J1907" s="5" t="n">
        <v>20.6</v>
      </c>
      <c r="K1907" s="3" t="inlineStr">
        <is>
          <t>2필지. 자연취락지구,준보전산지.</t>
        </is>
      </c>
      <c r="L1907" s="6">
        <f>HYPERLINK("https://fin.land.naver.com/articles/2653109397", "매물Link")</f>
        <v/>
      </c>
      <c r="M1907" s="6">
        <f>HYPERLINK("https://map.naver.com/p/search/연서면 쌍전리 산29-1", "지도Link")</f>
        <v/>
      </c>
      <c r="N1907" s="6">
        <f>HYPERLINK("http://www.eum.go.kr/web/ar/lu/luLandDet.jsp?pnu=3611036022200290001&amp;isNoScr=script&amp;mode=search", "토지이음")</f>
        <v/>
      </c>
      <c r="O1907" s="3" t="inlineStr">
        <is>
          <t>세종소담114</t>
        </is>
      </c>
      <c r="P1907" s="4" t="n">
        <v>1</v>
      </c>
      <c r="Q1907" s="4" t="n">
        <v>6446</v>
      </c>
      <c r="R1907" s="3" t="inlineStr">
        <is>
          <t>지정되지않음</t>
        </is>
      </c>
      <c r="S1907" s="3" t="inlineStr">
        <is>
          <t>자연림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맹지</t>
        </is>
      </c>
    </row>
    <row r="1908">
      <c r="A1908" s="3" t="inlineStr">
        <is>
          <t>연서면 와촌리 1092-4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150000</v>
      </c>
      <c r="G1908" s="4" t="n">
        <v>1661</v>
      </c>
      <c r="H1908" s="4" t="n">
        <v>502</v>
      </c>
      <c r="I1908" s="5" t="n">
        <v>298.8</v>
      </c>
      <c r="J1908" s="5" t="n">
        <v>59.2</v>
      </c>
      <c r="K1908" s="3" t="inlineStr">
        <is>
          <t>지방도 접해 있고 다양한 용도로 활용성 높은 투자가치 높은 용지</t>
        </is>
      </c>
      <c r="L1908" s="6">
        <f>HYPERLINK("https://fin.land.naver.com/articles/2654432271", "매물Link")</f>
        <v/>
      </c>
      <c r="M1908" s="6">
        <f>HYPERLINK("https://map.naver.com/p/search/연서면 와촌리 1092-4", "지도Link")</f>
        <v/>
      </c>
      <c r="N1908" s="6">
        <f>HYPERLINK("http://www.eum.go.kr/web/ar/lu/luLandDet.jsp?pnu=3611036031110920004&amp;isNoScr=script&amp;mode=search", "토지이음")</f>
        <v/>
      </c>
      <c r="O1908" s="3" t="inlineStr">
        <is>
          <t>반곡황금더샵</t>
        </is>
      </c>
      <c r="P1908" s="4" t="n">
        <v>1</v>
      </c>
      <c r="Q1908" s="4" t="n">
        <v>1661</v>
      </c>
      <c r="R1908" s="3" t="inlineStr">
        <is>
          <t>지정되지않음</t>
        </is>
      </c>
      <c r="S1908" s="3" t="inlineStr">
        <is>
          <t>전기타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와촌리 1094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34400</v>
      </c>
      <c r="G1909" s="4" t="n">
        <v>284</v>
      </c>
      <c r="H1909" s="4" t="n">
        <v>86</v>
      </c>
      <c r="I1909" s="5" t="n">
        <v>400</v>
      </c>
      <c r="J1909" s="5" t="n">
        <v>80.09999999999999</v>
      </c>
      <c r="K1909" s="3" t="inlineStr">
        <is>
          <t>상가 신축에 아주 적합한 2차선변에 길게 접한 소액투자 토지</t>
        </is>
      </c>
      <c r="L1909" s="6">
        <f>HYPERLINK("https://fin.land.naver.com/articles/2651949476", "매물Link")</f>
        <v/>
      </c>
      <c r="M1909" s="6">
        <f>HYPERLINK("https://map.naver.com/p/search/연서면 와촌리 1094", "지도Link")</f>
        <v/>
      </c>
      <c r="N1909" s="6">
        <f>HYPERLINK("http://www.eum.go.kr/web/ar/lu/luLandDet.jsp?pnu=3611036031110940000&amp;isNoScr=script&amp;mode=search", "토지이음")</f>
        <v/>
      </c>
      <c r="O1909" s="3" t="inlineStr">
        <is>
          <t>용궁</t>
        </is>
      </c>
      <c r="P1909" s="4" t="n">
        <v>1</v>
      </c>
      <c r="Q1909" s="4" t="n">
        <v>285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와촌리 1175</t>
        </is>
      </c>
      <c r="B1910" s="3" t="inlineStr">
        <is>
          <t>보전관리지역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18000</v>
      </c>
      <c r="G1910" s="4" t="n">
        <v>744</v>
      </c>
      <c r="H1910" s="4" t="n">
        <v>225</v>
      </c>
      <c r="I1910" s="5" t="n">
        <v>80</v>
      </c>
      <c r="J1910" s="5" t="n">
        <v>23.7</v>
      </c>
      <c r="K1910" s="3" t="inlineStr">
        <is>
          <t>소액 투자나 농막 체류형쉼터용 농지</t>
        </is>
      </c>
      <c r="L1910" s="6">
        <f>HYPERLINK("https://fin.land.naver.com/articles/2651948470", "매물Link")</f>
        <v/>
      </c>
      <c r="M1910" s="6">
        <f>HYPERLINK("https://map.naver.com/p/search/연서면 와촌리 1175", "지도Link")</f>
        <v/>
      </c>
      <c r="N1910" s="6">
        <f>HYPERLINK("http://www.eum.go.kr/web/ar/lu/luLandDet.jsp?pnu=3611036031111750000&amp;isNoScr=script&amp;mode=search", "토지이음")</f>
        <v/>
      </c>
      <c r="O1910" s="3" t="inlineStr">
        <is>
          <t>용궁</t>
        </is>
      </c>
      <c r="P1910" s="4" t="n">
        <v>1</v>
      </c>
      <c r="Q1910" s="4" t="n">
        <v>744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와촌리 1180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180000</v>
      </c>
      <c r="G1911" s="4" t="n">
        <v>2380</v>
      </c>
      <c r="H1911" s="4" t="n">
        <v>720</v>
      </c>
      <c r="I1911" s="5" t="n">
        <v>250</v>
      </c>
      <c r="J1911" s="5" t="n">
        <v>84.8</v>
      </c>
      <c r="K1911" s="3" t="inlineStr">
        <is>
          <t>마을 맨 윗쪽 넓은 전원주택지. 현재 전 및 일부 축사</t>
        </is>
      </c>
      <c r="L1911" s="6">
        <f>HYPERLINK("https://fin.land.naver.com/articles/2651423318", "매물Link")</f>
        <v/>
      </c>
      <c r="M1911" s="6">
        <f>HYPERLINK("https://map.naver.com/p/search/연서면 와촌리 1180", "지도Link")</f>
        <v/>
      </c>
      <c r="N1911" s="6">
        <f>HYPERLINK("http://www.eum.go.kr/web/ar/lu/luLandDet.jsp?pnu=3611036031111800000&amp;isNoScr=script&amp;mode=search",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2380</v>
      </c>
      <c r="R1911" s="3" t="inlineStr">
        <is>
          <t>지정되지않음</t>
        </is>
      </c>
      <c r="S1911" s="3" t="inlineStr">
        <is>
          <t>주거기타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세로한면(불)</t>
        </is>
      </c>
    </row>
    <row r="1912">
      <c r="A1912" s="3" t="inlineStr">
        <is>
          <t>연서면 와촌리 1180</t>
        </is>
      </c>
      <c r="B1912" s="3" t="inlineStr">
        <is>
          <t>계획관리지역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180000</v>
      </c>
      <c r="G1912" s="4" t="n">
        <v>2380</v>
      </c>
      <c r="H1912" s="4" t="n">
        <v>720</v>
      </c>
      <c r="I1912" s="5" t="n">
        <v>250</v>
      </c>
      <c r="J1912" s="5" t="n">
        <v>84.8</v>
      </c>
      <c r="K1912" s="3" t="inlineStr">
        <is>
          <t>세종시 인기지역, 국가산업단지 인근, 현재 축사건물있음 , 투자가치높음</t>
        </is>
      </c>
      <c r="L1912" s="6">
        <f>HYPERLINK("https://fin.land.naver.com/articles/2652354951", "매물Link")</f>
        <v/>
      </c>
      <c r="M1912" s="6">
        <f>HYPERLINK("https://map.naver.com/p/search/연서면 와촌리 1180", "지도Link")</f>
        <v/>
      </c>
      <c r="N1912" s="6">
        <f>HYPERLINK("http://www.eum.go.kr/web/ar/lu/luLandDet.jsp?pnu=3611036031111800000&amp;isNoScr=script&amp;mode=search", "토지이음")</f>
        <v/>
      </c>
      <c r="O1912" s="3" t="inlineStr">
        <is>
          <t>세종특별시</t>
        </is>
      </c>
      <c r="P1912" s="4" t="n">
        <v>1</v>
      </c>
      <c r="Q1912" s="4" t="n">
        <v>2380</v>
      </c>
      <c r="R1912" s="3" t="inlineStr">
        <is>
          <t>지정되지않음</t>
        </is>
      </c>
      <c r="S1912" s="3" t="inlineStr">
        <is>
          <t>주거기타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세로한면(불)</t>
        </is>
      </c>
    </row>
    <row r="1913">
      <c r="A1913" s="3" t="inlineStr">
        <is>
          <t>연서면 와촌리 1182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140000</v>
      </c>
      <c r="G1913" s="4" t="n">
        <v>1689</v>
      </c>
      <c r="H1913" s="4" t="n">
        <v>511</v>
      </c>
      <c r="I1913" s="5" t="n">
        <v>274</v>
      </c>
      <c r="J1913" s="5" t="n">
        <v>85.59999999999999</v>
      </c>
      <c r="K1913" s="3" t="inlineStr">
        <is>
          <t>복숭아 나무 식재 중, 토지모양 굿, 자연취락지구, 성장관리계획구역</t>
        </is>
      </c>
      <c r="L1913" s="6">
        <f>HYPERLINK("https://fin.land.naver.com/articles/2653281131", "매물Link")</f>
        <v/>
      </c>
      <c r="M1913" s="6">
        <f>HYPERLINK("https://map.naver.com/p/search/연서면 와촌리 1182", "지도Link")</f>
        <v/>
      </c>
      <c r="N1913" s="6">
        <f>HYPERLINK("http://www.eum.go.kr/web/ar/lu/luLandDet.jsp?pnu=3611036031111820000&amp;isNoScr=script&amp;mode=search", "토지이음")</f>
        <v/>
      </c>
      <c r="O1913" s="3" t="inlineStr">
        <is>
          <t>올바른</t>
        </is>
      </c>
      <c r="P1913" s="4" t="n">
        <v>1</v>
      </c>
      <c r="Q1913" s="4" t="n">
        <v>1689</v>
      </c>
      <c r="R1913" s="3" t="inlineStr">
        <is>
          <t>지정되지않음</t>
        </is>
      </c>
      <c r="S1913" s="3" t="inlineStr">
        <is>
          <t>주거나지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세로한면(불)</t>
        </is>
      </c>
    </row>
    <row r="1914">
      <c r="A1914" s="3" t="inlineStr">
        <is>
          <t>연서면 와촌리 1183-1</t>
        </is>
      </c>
      <c r="B1914" s="3" t="inlineStr">
        <is>
          <t>계획관리지역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360000</v>
      </c>
      <c r="G1914" s="4" t="n">
        <v>3769</v>
      </c>
      <c r="H1914" s="4" t="n">
        <v>1140</v>
      </c>
      <c r="I1914" s="5" t="n">
        <v>315.8</v>
      </c>
      <c r="J1914" s="5" t="n">
        <v>76.3</v>
      </c>
      <c r="K1914" s="3" t="inlineStr">
        <is>
          <t>국가산업단지인근 계획관리지역 분할매매도 가능</t>
        </is>
      </c>
      <c r="L1914" s="6">
        <f>HYPERLINK("https://fin.land.naver.com/articles/2651159468", "매물Link")</f>
        <v/>
      </c>
      <c r="M1914" s="6">
        <f>HYPERLINK("https://map.naver.com/p/search/연서면 와촌리 1183-1", "지도Link")</f>
        <v/>
      </c>
      <c r="N1914" s="6">
        <f>HYPERLINK("http://www.eum.go.kr/web/ar/lu/luLandDet.jsp?pnu=3611036031111830001&amp;isNoScr=script&amp;mode=search", "토지이음")</f>
        <v/>
      </c>
      <c r="O1914" s="3" t="inlineStr">
        <is>
          <t>샘터아이파크시티</t>
        </is>
      </c>
      <c r="P1914" s="4" t="n">
        <v>2</v>
      </c>
      <c r="Q1914" s="4" t="n">
        <v>3769</v>
      </c>
      <c r="R1914" s="3" t="inlineStr">
        <is>
          <t>지정되지않음</t>
        </is>
      </c>
      <c r="S1914" s="3" t="inlineStr">
        <is>
          <t>답</t>
        </is>
      </c>
      <c r="T1914" s="3" t="inlineStr">
        <is>
          <t>평지</t>
        </is>
      </c>
      <c r="U1914" s="3" t="inlineStr">
        <is>
          <t>자루형</t>
        </is>
      </c>
      <c r="V1914" s="3" t="inlineStr">
        <is>
          <t>소로한면</t>
        </is>
      </c>
    </row>
    <row r="1915">
      <c r="A1915" s="3" t="inlineStr">
        <is>
          <t>연서면 와촌리 1185-1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240000</v>
      </c>
      <c r="G1915" s="4" t="n">
        <v>2432</v>
      </c>
      <c r="H1915" s="4" t="n">
        <v>736</v>
      </c>
      <c r="I1915" s="5" t="n">
        <v>326.1</v>
      </c>
      <c r="J1915" s="5" t="n">
        <v>77.09999999999999</v>
      </c>
      <c r="K1915" s="3" t="inlineStr">
        <is>
          <t>계획관리, 성장관리 지역, 2차선 도로 바로 옆 토지, 국가산단 5분거리</t>
        </is>
      </c>
      <c r="L1915" s="6">
        <f>HYPERLINK("https://fin.land.naver.com/articles/2653281350", "매물Link")</f>
        <v/>
      </c>
      <c r="M1915" s="6">
        <f>HYPERLINK("https://map.naver.com/p/search/연서면 와촌리 1185-1", "지도Link")</f>
        <v/>
      </c>
      <c r="N1915" s="6">
        <f>HYPERLINK("http://www.eum.go.kr/web/ar/lu/luLandDet.jsp?pnu=3611036031111850001&amp;isNoScr=script&amp;mode=search", "토지이음")</f>
        <v/>
      </c>
      <c r="O1915" s="3" t="inlineStr">
        <is>
          <t>올바른</t>
        </is>
      </c>
      <c r="P1915" s="4" t="n">
        <v>1</v>
      </c>
      <c r="Q1915" s="4" t="n">
        <v>1660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172-1</t>
        </is>
      </c>
      <c r="B1916" s="3" t="inlineStr">
        <is>
          <t>계획관리지역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270000</v>
      </c>
      <c r="G1916" s="4" t="n">
        <v>2749</v>
      </c>
      <c r="H1916" s="4" t="n">
        <v>832</v>
      </c>
      <c r="I1916" s="5" t="n">
        <v>324.5</v>
      </c>
      <c r="J1916" s="5" t="n">
        <v>57.5</v>
      </c>
      <c r="K1916" s="3" t="inlineStr">
        <is>
          <t>세종 스마트 국가산업단지 길건너 발전가능성 높은 귀한 토지 매도</t>
        </is>
      </c>
      <c r="L1916" s="6">
        <f>HYPERLINK("https://fin.land.naver.com/articles/2654801492", "매물Link")</f>
        <v/>
      </c>
      <c r="M1916" s="6">
        <f>HYPERLINK("https://map.naver.com/p/search/연서면 와촌리 172-1", "지도Link")</f>
        <v/>
      </c>
      <c r="N1916" s="6">
        <f>HYPERLINK("http://www.eum.go.kr/web/ar/lu/luLandDet.jsp?pnu=3611036031101720001&amp;isNoScr=script&amp;mode=search", "토지이음")</f>
        <v/>
      </c>
      <c r="O1916" s="3" t="inlineStr">
        <is>
          <t>번영</t>
        </is>
      </c>
      <c r="P1916" s="4" t="n">
        <v>1</v>
      </c>
      <c r="Q1916" s="4" t="n">
        <v>2749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자루형</t>
        </is>
      </c>
      <c r="V1916" s="3" t="inlineStr">
        <is>
          <t>맹지</t>
        </is>
      </c>
    </row>
    <row r="1917">
      <c r="A1917" s="3" t="inlineStr">
        <is>
          <t>연서면 와촌리 314-2</t>
        </is>
      </c>
      <c r="B1917" s="3" t="inlineStr">
        <is>
          <t>계획관리지역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91683</v>
      </c>
      <c r="G1917" s="4" t="n">
        <v>1656</v>
      </c>
      <c r="H1917" s="4" t="n">
        <v>501</v>
      </c>
      <c r="I1917" s="5" t="n">
        <v>183</v>
      </c>
      <c r="J1917" s="5" t="n">
        <v>63.1</v>
      </c>
      <c r="K1917" s="3" t="inlineStr">
        <is>
          <t>와촌리 급매 투자 및 국가산단 보상 대토 강력 추천 계획관리</t>
        </is>
      </c>
      <c r="L1917" s="6">
        <f>HYPERLINK("https://fin.land.naver.com/articles/2653501223", "매물Link")</f>
        <v/>
      </c>
      <c r="M1917" s="6">
        <f>HYPERLINK("https://map.naver.com/p/search/연서면 와촌리 314-2", "지도Link")</f>
        <v/>
      </c>
      <c r="N1917" s="6">
        <f>HYPERLINK("http://www.eum.go.kr/web/ar/lu/luLandDet.jsp?pnu=3611036031103140002&amp;isNoScr=script&amp;mode=search", "토지이음")</f>
        <v/>
      </c>
      <c r="O1917" s="3" t="inlineStr">
        <is>
          <t>연서</t>
        </is>
      </c>
      <c r="P1917" s="4" t="n">
        <v>1</v>
      </c>
      <c r="Q1917" s="4" t="n">
        <v>1656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와촌리 430-9</t>
        </is>
      </c>
      <c r="B1918" s="3" t="inlineStr">
        <is>
          <t>농림지역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109500</v>
      </c>
      <c r="G1918" s="4" t="n">
        <v>3017</v>
      </c>
      <c r="H1918" s="4" t="n">
        <v>913</v>
      </c>
      <c r="I1918" s="5" t="n">
        <v>119.9</v>
      </c>
      <c r="J1918" s="5" t="n">
        <v>40.4</v>
      </c>
      <c r="K1918" s="3" t="inlineStr">
        <is>
          <t>세종국가산업단지 인접한 토지</t>
        </is>
      </c>
      <c r="L1918" s="6">
        <f>HYPERLINK("https://fin.land.naver.com/articles/2655257733", "매물Link")</f>
        <v/>
      </c>
      <c r="M1918" s="6">
        <f>HYPERLINK("https://map.naver.com/p/search/연서면 와촌리 430-9", "지도Link")</f>
        <v/>
      </c>
      <c r="N1918" s="6">
        <f>HYPERLINK("http://www.eum.go.kr/web/ar/lu/luLandDet.jsp?pnu=3611036031104300009&amp;isNoScr=script&amp;mode=search", "토지이음")</f>
        <v/>
      </c>
      <c r="O1918" s="3" t="inlineStr">
        <is>
          <t>세종대박</t>
        </is>
      </c>
      <c r="P1918" s="4" t="n">
        <v>2</v>
      </c>
      <c r="Q1918" s="4" t="n">
        <v>3017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가로장방</t>
        </is>
      </c>
      <c r="V1918" s="3" t="inlineStr">
        <is>
          <t>세로한면(가)</t>
        </is>
      </c>
    </row>
    <row r="1919">
      <c r="A1919" s="3" t="inlineStr">
        <is>
          <t>연서면 와촌리 437-2</t>
        </is>
      </c>
      <c r="B1919" s="3" t="inlineStr">
        <is>
          <t>농림지역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33000</v>
      </c>
      <c r="G1919" s="4" t="n">
        <v>1092</v>
      </c>
      <c r="H1919" s="4" t="n">
        <v>330</v>
      </c>
      <c r="I1919" s="5" t="n">
        <v>100</v>
      </c>
      <c r="J1919" s="5" t="n">
        <v>40.8</v>
      </c>
      <c r="K1919" s="3" t="inlineStr">
        <is>
          <t>세종스마트 국가산업단지 옆 와촌리 토지 급매.</t>
        </is>
      </c>
      <c r="L1919" s="6">
        <f>HYPERLINK("https://fin.land.naver.com/articles/2650939358", "매물Link")</f>
        <v/>
      </c>
      <c r="M1919" s="6">
        <f>HYPERLINK("https://map.naver.com/p/search/연서면 와촌리 437-2", "지도Link")</f>
        <v/>
      </c>
      <c r="N1919" s="6">
        <f>HYPERLINK("http://www.eum.go.kr/web/ar/lu/luLandDet.jsp?pnu=3611036031104370002&amp;isNoScr=script&amp;mode=search", "토지이음")</f>
        <v/>
      </c>
      <c r="O1919" s="3" t="inlineStr">
        <is>
          <t>세종대장</t>
        </is>
      </c>
      <c r="P1919" s="4" t="n">
        <v>1</v>
      </c>
      <c r="Q1919" s="4" t="n">
        <v>1092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세로장방</t>
        </is>
      </c>
      <c r="V1919" s="3" t="inlineStr">
        <is>
          <t>세로한면(가)</t>
        </is>
      </c>
    </row>
    <row r="1920">
      <c r="A1920" s="3" t="inlineStr">
        <is>
          <t>연서면 와촌리 437-3</t>
        </is>
      </c>
      <c r="B1920" s="3" t="inlineStr">
        <is>
          <t>농림지역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150000</v>
      </c>
      <c r="G1920" s="4" t="n">
        <v>2991</v>
      </c>
      <c r="H1920" s="4" t="n">
        <v>905</v>
      </c>
      <c r="I1920" s="5" t="n">
        <v>165.7</v>
      </c>
      <c r="J1920" s="5" t="n">
        <v>40.8</v>
      </c>
      <c r="K1920" s="3" t="inlineStr">
        <is>
          <t>조치원산단 인근 농지. 투자용으로 추천</t>
        </is>
      </c>
      <c r="L1920" s="6">
        <f>HYPERLINK("https://fin.land.naver.com/articles/2650858525", "매물Link")</f>
        <v/>
      </c>
      <c r="M1920" s="6">
        <f>HYPERLINK("https://map.naver.com/p/search/연서면 와촌리 437-3", "지도Link")</f>
        <v/>
      </c>
      <c r="N1920" s="6">
        <f>HYPERLINK("http://www.eum.go.kr/web/ar/lu/luLandDet.jsp?pnu=3611036031104370003&amp;isNoScr=script&amp;mode=search", "토지이음")</f>
        <v/>
      </c>
      <c r="O1920" s="3" t="inlineStr">
        <is>
          <t>세종대박</t>
        </is>
      </c>
      <c r="P1920" s="4" t="n">
        <v>1</v>
      </c>
      <c r="Q1920" s="4" t="n">
        <v>2992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연서면 와촌리 438-3</t>
        </is>
      </c>
      <c r="B1921" s="3" t="inlineStr">
        <is>
          <t>농림지역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82000</v>
      </c>
      <c r="G1921" s="4" t="n">
        <v>1687</v>
      </c>
      <c r="H1921" s="4" t="n">
        <v>510</v>
      </c>
      <c r="I1921" s="5" t="n">
        <v>160.8</v>
      </c>
      <c r="J1921" s="5" t="n">
        <v>40.4</v>
      </c>
      <c r="K1921" s="3" t="inlineStr">
        <is>
          <t>성토된 농지, 도로접한 전현황</t>
        </is>
      </c>
      <c r="L1921" s="6">
        <f>HYPERLINK("https://fin.land.naver.com/articles/2655032787", "매물Link")</f>
        <v/>
      </c>
      <c r="M1921" s="6">
        <f>HYPERLINK("https://map.naver.com/p/search/연서면 와촌리 438-3", "지도Link")</f>
        <v/>
      </c>
      <c r="N1921" s="6">
        <f>HYPERLINK("http://www.eum.go.kr/web/ar/lu/luLandDet.jsp?pnu=3611036031104380003&amp;isNoScr=script&amp;mode=search",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1687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연서면 와촌리 858-1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230000</v>
      </c>
      <c r="G1922" s="4" t="n">
        <v>1264</v>
      </c>
      <c r="H1922" s="4" t="n">
        <v>382</v>
      </c>
      <c r="I1922" s="5" t="n">
        <v>602.1</v>
      </c>
      <c r="J1922" s="5" t="n">
        <v>134.5</v>
      </c>
      <c r="K1922" s="3" t="inlineStr">
        <is>
          <t>세종산업단지인근 2차선도로 계획관리지역 토지매매</t>
        </is>
      </c>
      <c r="L1922" s="6">
        <f>HYPERLINK("https://fin.land.naver.com/articles/2652045069", "매물Link")</f>
        <v/>
      </c>
      <c r="M1922" s="6">
        <f>HYPERLINK("https://map.naver.com/p/search/연서면 와촌리 858-1", "지도Link")</f>
        <v/>
      </c>
      <c r="N1922" s="6">
        <f>HYPERLINK("http://www.eum.go.kr/web/ar/lu/luLandDet.jsp?pnu=3611036031108580001&amp;isNoScr=script&amp;mode=search", "토지이음")</f>
        <v/>
      </c>
      <c r="O1922" s="3" t="inlineStr">
        <is>
          <t>에이스</t>
        </is>
      </c>
      <c r="P1922" s="4" t="n">
        <v>1</v>
      </c>
      <c r="Q1922" s="4" t="n">
        <v>548</v>
      </c>
      <c r="R1922" s="3" t="inlineStr">
        <is>
          <t>지정되지않음</t>
        </is>
      </c>
      <c r="S1922" s="3" t="inlineStr">
        <is>
          <t>주거기타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소로한면</t>
        </is>
      </c>
    </row>
    <row r="1923">
      <c r="A1923" s="3" t="inlineStr">
        <is>
          <t>연서면 와촌리 862-3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90000</v>
      </c>
      <c r="G1923" s="4" t="n">
        <v>661</v>
      </c>
      <c r="H1923" s="4" t="n">
        <v>200</v>
      </c>
      <c r="I1923" s="5" t="n">
        <v>450</v>
      </c>
      <c r="J1923" s="5" t="n">
        <v>63.1</v>
      </c>
      <c r="K1923" s="3" t="inlineStr">
        <is>
          <t>연서면 와촌리 와촌보건소 인근 2차선 도로에 접한 농지 분할 매매 합니다</t>
        </is>
      </c>
      <c r="L1923" s="6">
        <f>HYPERLINK("https://fin.land.naver.com/articles/2652993287", "매물Link")</f>
        <v/>
      </c>
      <c r="M1923" s="6">
        <f>HYPERLINK("https://map.naver.com/p/search/연서면 와촌리 862-3", "지도Link")</f>
        <v/>
      </c>
      <c r="N1923" s="6">
        <f>HYPERLINK("http://www.eum.go.kr/web/ar/lu/luLandDet.jsp?pnu=3611036031108620003&amp;isNoScr=script&amp;mode=search", "토지이음")</f>
        <v/>
      </c>
      <c r="O1923" s="3" t="inlineStr">
        <is>
          <t>스마일세종</t>
        </is>
      </c>
      <c r="P1923" s="4" t="n">
        <v>1</v>
      </c>
      <c r="Q1923" s="4" t="n">
        <v>3171</v>
      </c>
      <c r="R1923" s="3" t="inlineStr">
        <is>
          <t>보전관리지역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사다리형</t>
        </is>
      </c>
      <c r="V1923" s="3" t="inlineStr">
        <is>
          <t>소로한면</t>
        </is>
      </c>
    </row>
    <row r="1924">
      <c r="A1924" s="3" t="inlineStr">
        <is>
          <t>연서면 와촌리 955-2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238100</v>
      </c>
      <c r="G1924" s="4" t="n">
        <v>7871</v>
      </c>
      <c r="H1924" s="4" t="n">
        <v>2381</v>
      </c>
      <c r="I1924" s="5" t="n">
        <v>100</v>
      </c>
      <c r="J1924" s="5" t="n">
        <v>40.5</v>
      </c>
      <c r="K1924" s="3" t="inlineStr">
        <is>
          <t>국가산업단지 인근의 가장 저렴한 과수원</t>
        </is>
      </c>
      <c r="L1924" s="6">
        <f>HYPERLINK("https://fin.land.naver.com/articles/2651948883", "매물Link")</f>
        <v/>
      </c>
      <c r="M1924" s="6">
        <f>HYPERLINK("https://map.naver.com/p/search/연서면 와촌리 955-2", "지도Link")</f>
        <v/>
      </c>
      <c r="N1924" s="6">
        <f>HYPERLINK("http://www.eum.go.kr/web/ar/lu/luLandDet.jsp?pnu=3611036031109550002&amp;isNoScr=script&amp;mode=search", "토지이음")</f>
        <v/>
      </c>
      <c r="O1924" s="3" t="inlineStr">
        <is>
          <t>용궁</t>
        </is>
      </c>
      <c r="P1924" s="4" t="n">
        <v>1</v>
      </c>
      <c r="Q1924" s="4" t="n">
        <v>2364</v>
      </c>
      <c r="R1924" s="3" t="inlineStr">
        <is>
          <t>지정되지않음</t>
        </is>
      </c>
      <c r="S1924" s="3" t="inlineStr">
        <is>
          <t>전기타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와촌리 963</t>
        </is>
      </c>
      <c r="B1925" s="3" t="inlineStr">
        <is>
          <t>생산관리지역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943200</v>
      </c>
      <c r="G1925" s="4" t="n">
        <v>15593</v>
      </c>
      <c r="H1925" s="4" t="n">
        <v>4717</v>
      </c>
      <c r="I1925" s="5" t="n">
        <v>200</v>
      </c>
      <c r="J1925" s="5" t="n">
        <v>50.3</v>
      </c>
      <c r="K1925" s="3" t="inlineStr">
        <is>
          <t>국가산업단지 길목, 수혜지역.투자용,상업용,산업용 용도 다양</t>
        </is>
      </c>
      <c r="L1925" s="6">
        <f>HYPERLINK("https://fin.land.naver.com/articles/2651168285", "매물Link")</f>
        <v/>
      </c>
      <c r="M1925" s="6">
        <f>HYPERLINK("https://map.naver.com/p/search/연서면 와촌리 963", "지도Link")</f>
        <v/>
      </c>
      <c r="N1925" s="6">
        <f>HYPERLINK("http://www.eum.go.kr/web/ar/lu/luLandDet.jsp?pnu=3611036031109630000&amp;isNoScr=script&amp;mode=search", "토지이음")</f>
        <v/>
      </c>
      <c r="O1925" s="3" t="inlineStr">
        <is>
          <t>세종시해냄공인</t>
        </is>
      </c>
      <c r="P1925" s="4" t="n">
        <v>1</v>
      </c>
      <c r="Q1925" s="4" t="n">
        <v>2199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와촌리 산112-3</t>
        </is>
      </c>
      <c r="B1926" s="3" t="inlineStr">
        <is>
          <t>농림지역</t>
        </is>
      </c>
      <c r="C1926" s="3" t="inlineStr">
        <is>
          <t>임야</t>
        </is>
      </c>
      <c r="D1926" s="3" t="inlineStr">
        <is>
          <t>임야</t>
        </is>
      </c>
      <c r="E1926" s="3" t="inlineStr">
        <is>
          <t>매매</t>
        </is>
      </c>
      <c r="F1926" s="4" t="n">
        <v>140000</v>
      </c>
      <c r="G1926" s="4" t="n">
        <v>23140</v>
      </c>
      <c r="H1926" s="4" t="n">
        <v>7000</v>
      </c>
      <c r="I1926" s="5" t="n">
        <v>20</v>
      </c>
      <c r="J1926" s="5" t="n">
        <v>3.9</v>
      </c>
      <c r="K1926" s="3" t="inlineStr">
        <is>
          <t>장기투자 개발 하기 좋은 세종시 토지 매매</t>
        </is>
      </c>
      <c r="L1926" s="6">
        <f>HYPERLINK("https://fin.land.naver.com/articles/2652667739", "매물Link")</f>
        <v/>
      </c>
      <c r="M1926" s="6">
        <f>HYPERLINK("https://map.naver.com/p/search/연서면 와촌리 산112-3", "지도Link")</f>
        <v/>
      </c>
      <c r="N1926" s="6">
        <f>HYPERLINK("http://www.eum.go.kr/web/ar/lu/luLandDet.jsp?pnu=3611036031201120003&amp;isNoScr=script&amp;mode=search", "토지이음")</f>
        <v/>
      </c>
      <c r="O1926" s="3" t="inlineStr">
        <is>
          <t>(주)정민근</t>
        </is>
      </c>
      <c r="P1926" s="4" t="n">
        <v>1</v>
      </c>
      <c r="Q1926" s="4" t="n">
        <v>16528</v>
      </c>
      <c r="R1926" s="3" t="inlineStr">
        <is>
          <t>보전관리지역</t>
        </is>
      </c>
      <c r="S1926" s="3" t="inlineStr">
        <is>
          <t>자연림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와촌리 산135</t>
        </is>
      </c>
      <c r="B1927" s="3" t="inlineStr">
        <is>
          <t>농림지역</t>
        </is>
      </c>
      <c r="C1927" s="3" t="inlineStr">
        <is>
          <t>임야</t>
        </is>
      </c>
      <c r="D1927" s="3" t="inlineStr">
        <is>
          <t>임야</t>
        </is>
      </c>
      <c r="E1927" s="3" t="inlineStr">
        <is>
          <t>매매</t>
        </is>
      </c>
      <c r="F1927" s="4" t="n">
        <v>19500</v>
      </c>
      <c r="G1927" s="4" t="n">
        <v>6446</v>
      </c>
      <c r="H1927" s="4" t="n">
        <v>1950</v>
      </c>
      <c r="I1927" s="5" t="n">
        <v>10</v>
      </c>
      <c r="J1927" s="5" t="n">
        <v>3.5</v>
      </c>
      <c r="K1927" s="3" t="inlineStr">
        <is>
          <t>임업용산지</t>
        </is>
      </c>
      <c r="L1927" s="6">
        <f>HYPERLINK("https://fin.land.naver.com/articles/2651849805", "매물Link")</f>
        <v/>
      </c>
      <c r="M1927" s="6">
        <f>HYPERLINK("https://map.naver.com/p/search/연서면 와촌리 산135", "지도Link")</f>
        <v/>
      </c>
      <c r="N1927" s="6">
        <f>HYPERLINK("http://www.eum.go.kr/web/ar/lu/luLandDet.jsp?pnu=3611036031201350000&amp;isNoScr=script&amp;mode=search", "토지이음")</f>
        <v/>
      </c>
      <c r="O1927" s="3" t="inlineStr">
        <is>
          <t>세종소담114</t>
        </is>
      </c>
      <c r="P1927" s="4" t="n">
        <v>1</v>
      </c>
      <c r="Q1927" s="4" t="n">
        <v>6446</v>
      </c>
      <c r="R1927" s="3" t="inlineStr">
        <is>
          <t>지정되지않음</t>
        </is>
      </c>
      <c r="S1927" s="3" t="inlineStr">
        <is>
          <t>자연림</t>
        </is>
      </c>
      <c r="T1927" s="3" t="inlineStr">
        <is>
          <t>급경사</t>
        </is>
      </c>
      <c r="U1927" s="3" t="inlineStr">
        <is>
          <t>부정형</t>
        </is>
      </c>
      <c r="V1927" s="3" t="inlineStr">
        <is>
          <t>맹지</t>
        </is>
      </c>
    </row>
    <row r="1928">
      <c r="A1928" s="3" t="inlineStr">
        <is>
          <t>연서면 와촌리 산161</t>
        </is>
      </c>
      <c r="B1928" s="3" t="inlineStr">
        <is>
          <t>보전관리지역</t>
        </is>
      </c>
      <c r="C1928" s="3" t="inlineStr">
        <is>
          <t>임야</t>
        </is>
      </c>
      <c r="D1928" s="3" t="inlineStr">
        <is>
          <t>임야</t>
        </is>
      </c>
      <c r="E1928" s="3" t="inlineStr">
        <is>
          <t>매매</t>
        </is>
      </c>
      <c r="F1928" s="4" t="n">
        <v>60000</v>
      </c>
      <c r="G1928" s="4" t="n">
        <v>5752</v>
      </c>
      <c r="H1928" s="4" t="n">
        <v>1740</v>
      </c>
      <c r="I1928" s="5" t="n">
        <v>34.5</v>
      </c>
      <c r="J1928" s="5" t="n">
        <v>5.7</v>
      </c>
      <c r="K1928" s="3" t="inlineStr">
        <is>
          <t>세종시 연서면 와촌리 임야매매.35만원</t>
        </is>
      </c>
      <c r="L1928" s="6">
        <f>HYPERLINK("https://fin.land.naver.com/articles/2652496113", "매물Link")</f>
        <v/>
      </c>
      <c r="M1928" s="6">
        <f>HYPERLINK("https://map.naver.com/p/search/연서면 와촌리 산161", "지도Link")</f>
        <v/>
      </c>
      <c r="N1928" s="6">
        <f>HYPERLINK("http://www.eum.go.kr/web/ar/lu/luLandDet.jsp?pnu=3611036031201610000&amp;isNoScr=script&amp;mode=search", "토지이음")</f>
        <v/>
      </c>
      <c r="O1928" s="3" t="inlineStr">
        <is>
          <t>동원</t>
        </is>
      </c>
      <c r="P1928" s="4" t="n">
        <v>1</v>
      </c>
      <c r="Q1928" s="4" t="n">
        <v>5752</v>
      </c>
      <c r="R1928" s="3" t="inlineStr">
        <is>
          <t>지정되지않음</t>
        </is>
      </c>
      <c r="S1928" s="3" t="inlineStr">
        <is>
          <t>자연림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와촌리 산96-15</t>
        </is>
      </c>
      <c r="B1929" s="3" t="inlineStr">
        <is>
          <t>보전관리지역</t>
        </is>
      </c>
      <c r="C1929" s="3" t="inlineStr">
        <is>
          <t>임야</t>
        </is>
      </c>
      <c r="D1929" s="3" t="inlineStr">
        <is>
          <t>임야</t>
        </is>
      </c>
      <c r="E1929" s="3" t="inlineStr">
        <is>
          <t>매매</t>
        </is>
      </c>
      <c r="F1929" s="4" t="n">
        <v>178790</v>
      </c>
      <c r="G1929" s="4" t="n">
        <v>6221</v>
      </c>
      <c r="H1929" s="4" t="n">
        <v>1882</v>
      </c>
      <c r="I1929" s="5" t="n">
        <v>95</v>
      </c>
      <c r="J1929" s="5" t="n">
        <v>5.6</v>
      </c>
      <c r="K1929" s="3" t="inlineStr">
        <is>
          <t>세종국가산업단지 예정지와 근접하며 향후 개발가능성 높은 임야,6생활권인접</t>
        </is>
      </c>
      <c r="L1929" s="6">
        <f>HYPERLINK("https://fin.land.naver.com/articles/2654514834", "매물Link")</f>
        <v/>
      </c>
      <c r="M1929" s="6">
        <f>HYPERLINK("https://map.naver.com/p/search/연서면 와촌리 산96-15", "지도Link")</f>
        <v/>
      </c>
      <c r="N1929" s="6">
        <f>HYPERLINK("http://www.eum.go.kr/web/ar/lu/luLandDet.jsp?pnu=3611036031200960015&amp;isNoScr=script&amp;mode=search", "토지이음")</f>
        <v/>
      </c>
      <c r="O1929" s="3" t="inlineStr">
        <is>
          <t>담뜰</t>
        </is>
      </c>
      <c r="P1929" s="4" t="n">
        <v>1</v>
      </c>
      <c r="Q1929" s="4" t="n">
        <v>6221</v>
      </c>
      <c r="R1929" s="3" t="inlineStr">
        <is>
          <t>지정되지않음</t>
        </is>
      </c>
      <c r="S1929" s="3" t="inlineStr">
        <is>
          <t>자연림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맹지</t>
        </is>
      </c>
    </row>
    <row r="1930">
      <c r="A1930" s="3" t="inlineStr">
        <is>
          <t>연서면 용암리 166-5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304800</v>
      </c>
      <c r="G1930" s="4" t="n">
        <v>869</v>
      </c>
      <c r="H1930" s="4" t="n">
        <v>263</v>
      </c>
      <c r="I1930" s="5" t="n">
        <v>1158.9</v>
      </c>
      <c r="J1930" s="5" t="n">
        <v>220.9</v>
      </c>
      <c r="K1930" s="3" t="inlineStr">
        <is>
          <t>와촌리 국가산업단지와 가까움, 2차선변 주차용이,투자로최고</t>
        </is>
      </c>
      <c r="L1930" s="6">
        <f>HYPERLINK("https://fin.land.naver.com/articles/2653880460", "매물Link")</f>
        <v/>
      </c>
      <c r="M1930" s="6">
        <f>HYPERLINK("https://map.naver.com/p/search/연서면 용암리 166-5", "지도Link")</f>
        <v/>
      </c>
      <c r="N1930" s="6">
        <f>HYPERLINK("http://www.eum.go.kr/web/ar/lu/luLandDet.jsp?pnu=3611036025101660005&amp;isNoScr=script&amp;mode=search", "토지이음")</f>
        <v/>
      </c>
      <c r="O1930" s="3" t="inlineStr">
        <is>
          <t>세종공주제일</t>
        </is>
      </c>
      <c r="P1930" s="4" t="n">
        <v>1</v>
      </c>
      <c r="Q1930" s="4" t="n">
        <v>869</v>
      </c>
      <c r="R1930" s="3" t="inlineStr">
        <is>
          <t>지정되지않음</t>
        </is>
      </c>
      <c r="S1930" s="3" t="inlineStr">
        <is>
          <t>상업용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연서면 용암리 216-5</t>
        </is>
      </c>
      <c r="B1931" s="3" t="inlineStr">
        <is>
          <t>생산관리지역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58000</v>
      </c>
      <c r="G1931" s="4" t="n">
        <v>1059</v>
      </c>
      <c r="H1931" s="4" t="n">
        <v>320</v>
      </c>
      <c r="I1931" s="5" t="n">
        <v>181.2</v>
      </c>
      <c r="J1931" s="5" t="n">
        <v>116.5</v>
      </c>
      <c r="K1931" s="3" t="inlineStr">
        <is>
          <t>급매, 조율도가능, 건축 휴게음식점 가능</t>
        </is>
      </c>
      <c r="L1931" s="6">
        <f>HYPERLINK("https://fin.land.naver.com/articles/2650890760", "매물Link")</f>
        <v/>
      </c>
      <c r="M1931" s="6">
        <f>HYPERLINK("https://map.naver.com/p/search/연서면 용암리 216-5", "지도Link")</f>
        <v/>
      </c>
      <c r="N1931" s="6">
        <f>HYPERLINK("http://www.eum.go.kr/web/ar/lu/luLandDet.jsp?pnu=3611036025102160005&amp;isNoScr=script&amp;mode=search", "토지이음")</f>
        <v/>
      </c>
      <c r="O1931" s="3" t="inlineStr">
        <is>
          <t>세종무지개</t>
        </is>
      </c>
      <c r="P1931" s="4" t="n">
        <v>1</v>
      </c>
      <c r="Q1931" s="4" t="n">
        <v>858</v>
      </c>
      <c r="R1931" s="3" t="inlineStr">
        <is>
          <t>자연환경보전지역</t>
        </is>
      </c>
      <c r="S1931" s="3" t="inlineStr">
        <is>
          <t>주상기타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용암리 225-12</t>
        </is>
      </c>
      <c r="B1932" s="3" t="inlineStr">
        <is>
          <t>농림지역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151000</v>
      </c>
      <c r="G1932" s="4" t="n">
        <v>6254</v>
      </c>
      <c r="H1932" s="4" t="n">
        <v>1892</v>
      </c>
      <c r="I1932" s="5" t="n">
        <v>79.8</v>
      </c>
      <c r="J1932" s="5" t="n">
        <v>30</v>
      </c>
      <c r="K1932" s="3" t="inlineStr">
        <is>
          <t>고복저수지 인근 용암리 도로접한 농업보호구역 토지 급매.</t>
        </is>
      </c>
      <c r="L1932" s="6">
        <f>HYPERLINK("https://fin.land.naver.com/articles/2654658498", "매물Link")</f>
        <v/>
      </c>
      <c r="M1932" s="6">
        <f>HYPERLINK("https://map.naver.com/p/search/연서면 용암리 225-12", "지도Link")</f>
        <v/>
      </c>
      <c r="N1932" s="6">
        <f>HYPERLINK("http://www.eum.go.kr/web/ar/lu/luLandDet.jsp?pnu=3611036025102250012&amp;isNoScr=script&amp;mode=search", "토지이음")</f>
        <v/>
      </c>
      <c r="O1932" s="3" t="inlineStr">
        <is>
          <t>세종대장</t>
        </is>
      </c>
      <c r="P1932" s="4" t="n">
        <v>1</v>
      </c>
      <c r="Q1932" s="4" t="n">
        <v>3198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용암리 229-1</t>
        </is>
      </c>
      <c r="B1933" s="3" t="inlineStr">
        <is>
          <t>농림지역</t>
        </is>
      </c>
      <c r="C1933" s="3" t="inlineStr">
        <is>
          <t>목장용지</t>
        </is>
      </c>
      <c r="D1933" s="3" t="inlineStr">
        <is>
          <t>목장용지</t>
        </is>
      </c>
      <c r="E1933" s="3" t="inlineStr">
        <is>
          <t>매매</t>
        </is>
      </c>
      <c r="F1933" s="4" t="n">
        <v>42000</v>
      </c>
      <c r="G1933" s="4" t="n">
        <v>929</v>
      </c>
      <c r="H1933" s="4" t="n">
        <v>281</v>
      </c>
      <c r="I1933" s="5" t="n">
        <v>149.5</v>
      </c>
      <c r="J1933" s="5" t="n">
        <v>35</v>
      </c>
      <c r="K1933" s="3" t="inlineStr">
        <is>
          <t>고복저수지 인근, 연기휴게소 근처임. 넓은국유지접함</t>
        </is>
      </c>
      <c r="L1933" s="6">
        <f>HYPERLINK("https://fin.land.naver.com/articles/2652121887", "매물Link")</f>
        <v/>
      </c>
      <c r="M1933" s="6">
        <f>HYPERLINK("https://map.naver.com/p/search/연서면 용암리 229-1", "지도Link")</f>
        <v/>
      </c>
      <c r="N1933" s="6">
        <f>HYPERLINK("http://www.eum.go.kr/web/ar/lu/luLandDet.jsp?pnu=3611036025102290001&amp;isNoScr=script&amp;mode=search",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929</v>
      </c>
      <c r="R1933" s="3" t="inlineStr">
        <is>
          <t>생산관리지역</t>
        </is>
      </c>
      <c r="S1933" s="3" t="inlineStr">
        <is>
          <t>전기타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용암리 239-11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25000</v>
      </c>
      <c r="G1934" s="4" t="n">
        <v>654</v>
      </c>
      <c r="H1934" s="4" t="n">
        <v>198</v>
      </c>
      <c r="I1934" s="5" t="n">
        <v>126.3</v>
      </c>
      <c r="J1934" s="5" t="n">
        <v>43.2</v>
      </c>
      <c r="K1934" s="3" t="inlineStr">
        <is>
          <t>도로지분포함매매,남향토지.</t>
        </is>
      </c>
      <c r="L1934" s="6">
        <f>HYPERLINK("https://fin.land.naver.com/articles/2655726792", "매물Link")</f>
        <v/>
      </c>
      <c r="M1934" s="6">
        <f>HYPERLINK("https://map.naver.com/p/search/연서면 용암리 239-11", "지도Link")</f>
        <v/>
      </c>
      <c r="N1934" s="6">
        <f>HYPERLINK("http://www.eum.go.kr/web/ar/lu/luLandDet.jsp?pnu=3611036025102390011&amp;isNoScr=script&amp;mode=search", "토지이음")</f>
        <v/>
      </c>
      <c r="O1934" s="3" t="inlineStr">
        <is>
          <t>담뜰</t>
        </is>
      </c>
      <c r="P1934" s="4" t="n">
        <v>2</v>
      </c>
      <c r="Q1934" s="4" t="n">
        <v>577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평지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용암리 239-3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59000</v>
      </c>
      <c r="G1935" s="4" t="n">
        <v>1443</v>
      </c>
      <c r="H1935" s="4" t="n">
        <v>437</v>
      </c>
      <c r="I1935" s="5" t="n">
        <v>135</v>
      </c>
      <c r="J1935" s="5" t="n">
        <v>45.4</v>
      </c>
      <c r="K1935" s="3" t="inlineStr">
        <is>
          <t>nan</t>
        </is>
      </c>
      <c r="L1935" s="6">
        <f>HYPERLINK("https://fin.land.naver.com/articles/2654420880", "매물Link")</f>
        <v/>
      </c>
      <c r="M1935" s="6">
        <f>HYPERLINK("https://map.naver.com/p/search/연서면 용암리 239-3", "지도Link")</f>
        <v/>
      </c>
      <c r="N1935" s="6">
        <f>HYPERLINK("http://www.eum.go.kr/web/ar/lu/luLandDet.jsp?pnu=3611036025102390003&amp;isNoScr=script&amp;mode=search", "토지이음")</f>
        <v/>
      </c>
      <c r="O1935" s="3" t="inlineStr">
        <is>
          <t>그래그</t>
        </is>
      </c>
      <c r="P1935" s="4" t="n">
        <v>1</v>
      </c>
      <c r="Q1935" s="4" t="n">
        <v>1443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평지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용암리 245-2</t>
        </is>
      </c>
      <c r="B1936" s="3" t="inlineStr">
        <is>
          <t>농림지역</t>
        </is>
      </c>
      <c r="C1936" s="3" t="inlineStr">
        <is>
          <t>잡종지</t>
        </is>
      </c>
      <c r="D1936" s="3" t="inlineStr">
        <is>
          <t>잡종지</t>
        </is>
      </c>
      <c r="E1936" s="3" t="inlineStr">
        <is>
          <t>매매</t>
        </is>
      </c>
      <c r="F1936" s="4" t="n">
        <v>323000</v>
      </c>
      <c r="G1936" s="4" t="n">
        <v>17797</v>
      </c>
      <c r="H1936" s="4" t="n">
        <v>5384</v>
      </c>
      <c r="I1936" s="5" t="n">
        <v>60</v>
      </c>
      <c r="J1936" s="5" t="n">
        <v>37.9</v>
      </c>
      <c r="K1936" s="3" t="inlineStr">
        <is>
          <t>태양광 시설 및 경사도 없는 야산으로 태양광 시설을 확장할 수 있는 임야</t>
        </is>
      </c>
      <c r="L1936" s="6">
        <f>HYPERLINK("https://fin.land.naver.com/articles/2651949989", "매물Link")</f>
        <v/>
      </c>
      <c r="M1936" s="6">
        <f>HYPERLINK("https://map.naver.com/p/search/연서면 용암리 245-2", "지도Link")</f>
        <v/>
      </c>
      <c r="N1936" s="6">
        <f>HYPERLINK("http://www.eum.go.kr/web/ar/lu/luLandDet.jsp?pnu=3611036025102450002&amp;isNoScr=script&amp;mode=search",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4332</v>
      </c>
      <c r="R1936" s="3" t="inlineStr">
        <is>
          <t>지정되지않음</t>
        </is>
      </c>
      <c r="S1936" s="3" t="inlineStr">
        <is>
          <t>태양광발전소부지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용암리 283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16300</v>
      </c>
      <c r="G1937" s="4" t="n">
        <v>770</v>
      </c>
      <c r="H1937" s="4" t="n">
        <v>233</v>
      </c>
      <c r="I1937" s="5" t="n">
        <v>70</v>
      </c>
      <c r="J1937" s="5" t="n">
        <v>20.7</v>
      </c>
      <c r="K1937" s="3" t="inlineStr">
        <is>
          <t>세종시 휴게소 예정지 인근 토지매매, 과수원매매</t>
        </is>
      </c>
      <c r="L1937" s="6">
        <f>HYPERLINK("https://fin.land.naver.com/articles/2652362367", "매물Link")</f>
        <v/>
      </c>
      <c r="M1937" s="6">
        <f>HYPERLINK("https://map.naver.com/p/search/연서면 용암리 283", "지도Link")</f>
        <v/>
      </c>
      <c r="N1937" s="6">
        <f>HYPERLINK("http://www.eum.go.kr/web/ar/lu/luLandDet.jsp?pnu=3611036025102830000&amp;isNoScr=script&amp;mode=search", "토지이음")</f>
        <v/>
      </c>
      <c r="O1937" s="3" t="inlineStr">
        <is>
          <t>유성대박</t>
        </is>
      </c>
      <c r="P1937" s="4" t="n">
        <v>1</v>
      </c>
      <c r="Q1937" s="4" t="n">
        <v>770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용암리 295</t>
        </is>
      </c>
      <c r="B1938" s="3" t="inlineStr">
        <is>
          <t>생산관리지역</t>
        </is>
      </c>
      <c r="C1938" s="3" t="inlineStr">
        <is>
          <t>전</t>
        </is>
      </c>
      <c r="D1938" s="3" t="inlineStr">
        <is>
          <t>전</t>
        </is>
      </c>
      <c r="E1938" s="3" t="inlineStr">
        <is>
          <t>매매</t>
        </is>
      </c>
      <c r="F1938" s="4" t="n">
        <v>31150</v>
      </c>
      <c r="G1938" s="4" t="n">
        <v>1471</v>
      </c>
      <c r="H1938" s="4" t="n">
        <v>445</v>
      </c>
      <c r="I1938" s="5" t="n">
        <v>70</v>
      </c>
      <c r="J1938" s="5" t="n">
        <v>17.6</v>
      </c>
      <c r="K1938" s="3" t="inlineStr">
        <is>
          <t>세종시 고속도로 휴게소 예정지 인근 토지매매</t>
        </is>
      </c>
      <c r="L1938" s="6">
        <f>HYPERLINK("https://fin.land.naver.com/articles/2652364710", "매물Link")</f>
        <v/>
      </c>
      <c r="M1938" s="6">
        <f>HYPERLINK("https://map.naver.com/p/search/연서면 용암리 295", "지도Link")</f>
        <v/>
      </c>
      <c r="N1938" s="6">
        <f>HYPERLINK("http://www.eum.go.kr/web/ar/lu/luLandDet.jsp?pnu=3611036025102950000&amp;isNoScr=script&amp;mode=search", "토지이음")</f>
        <v/>
      </c>
      <c r="O1938" s="3" t="inlineStr">
        <is>
          <t>유성대박</t>
        </is>
      </c>
      <c r="P1938" s="4" t="n">
        <v>1</v>
      </c>
      <c r="Q1938" s="4" t="n">
        <v>1471</v>
      </c>
      <c r="R1938" s="3" t="inlineStr">
        <is>
          <t>지정되지않음</t>
        </is>
      </c>
      <c r="S1938" s="3" t="inlineStr">
        <is>
          <t>전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맹지</t>
        </is>
      </c>
    </row>
    <row r="1939">
      <c r="A1939" s="3" t="inlineStr">
        <is>
          <t>연서면 용암리 296</t>
        </is>
      </c>
      <c r="B1939" s="3" t="inlineStr">
        <is>
          <t>생산관리지역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41000</v>
      </c>
      <c r="G1939" s="4" t="n">
        <v>1921</v>
      </c>
      <c r="H1939" s="4" t="n">
        <v>581</v>
      </c>
      <c r="I1939" s="5" t="n">
        <v>70.59999999999999</v>
      </c>
      <c r="J1939" s="5" t="n">
        <v>20.7</v>
      </c>
      <c r="K1939" s="3" t="inlineStr">
        <is>
          <t>세종시 토지매매. 휴게소 예정지 인근</t>
        </is>
      </c>
      <c r="L1939" s="6">
        <f>HYPERLINK("https://fin.land.naver.com/articles/2652374689", "매물Link")</f>
        <v/>
      </c>
      <c r="M1939" s="6">
        <f>HYPERLINK("https://map.naver.com/p/search/연서면 용암리 296", "지도Link")</f>
        <v/>
      </c>
      <c r="N1939" s="6">
        <f>HYPERLINK("http://www.eum.go.kr/web/ar/lu/luLandDet.jsp?pnu=3611036025102960000&amp;isNoScr=script&amp;mode=search", "토지이음")</f>
        <v/>
      </c>
      <c r="O1939" s="3" t="inlineStr">
        <is>
          <t>유성대박</t>
        </is>
      </c>
      <c r="P1939" s="4" t="n">
        <v>1</v>
      </c>
      <c r="Q1939" s="4" t="n">
        <v>1921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45-23</t>
        </is>
      </c>
      <c r="B1940" s="3" t="inlineStr">
        <is>
          <t>농림지역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40000</v>
      </c>
      <c r="G1940" s="4" t="n">
        <v>335</v>
      </c>
      <c r="H1940" s="4" t="n">
        <v>101</v>
      </c>
      <c r="I1940" s="5" t="n">
        <v>396</v>
      </c>
      <c r="J1940" s="5" t="n">
        <v>35.7</v>
      </c>
      <c r="K1940" s="3" t="inlineStr">
        <is>
          <t>고복저수지 뷰 도로에접한 저렴한 토지</t>
        </is>
      </c>
      <c r="L1940" s="6">
        <f>HYPERLINK("https://fin.land.naver.com/articles/2650856648", "매물Link")</f>
        <v/>
      </c>
      <c r="M1940" s="6">
        <f>HYPERLINK("https://map.naver.com/p/search/연서면 용암리 45-23", "지도Link")</f>
        <v/>
      </c>
      <c r="N1940" s="6">
        <f>HYPERLINK("http://www.eum.go.kr/web/ar/lu/luLandDet.jsp?pnu=3611036025100450023&amp;isNoScr=script&amp;mode=search", "토지이음")</f>
        <v/>
      </c>
      <c r="O1940" s="3" t="inlineStr">
        <is>
          <t>세종대박</t>
        </is>
      </c>
      <c r="P1940" s="4" t="n">
        <v>1</v>
      </c>
      <c r="Q1940" s="4" t="n">
        <v>335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세로한면(가)</t>
        </is>
      </c>
    </row>
    <row r="1941">
      <c r="A1941" s="3" t="inlineStr">
        <is>
          <t>연서면 용암리 산28-16</t>
        </is>
      </c>
      <c r="B1941" s="3" t="inlineStr">
        <is>
          <t>농림지역</t>
        </is>
      </c>
      <c r="C1941" s="3" t="inlineStr">
        <is>
          <t>임야</t>
        </is>
      </c>
      <c r="D1941" s="3" t="inlineStr">
        <is>
          <t>임야</t>
        </is>
      </c>
      <c r="E1941" s="3" t="inlineStr">
        <is>
          <t>매매</t>
        </is>
      </c>
      <c r="F1941" s="4" t="n">
        <v>73000</v>
      </c>
      <c r="G1941" s="4" t="n">
        <v>3377</v>
      </c>
      <c r="H1941" s="4" t="n">
        <v>1022</v>
      </c>
      <c r="I1941" s="5" t="n">
        <v>71.40000000000001</v>
      </c>
      <c r="J1941" s="5" t="n">
        <v>2.3</v>
      </c>
      <c r="K1941" s="3" t="inlineStr">
        <is>
          <t>세종 연서면 약 10만평 대규모 토지 통매매｜대단위 부지 찾는 분 주목</t>
        </is>
      </c>
      <c r="L1941" s="6">
        <f>HYPERLINK("https://fin.land.naver.com/articles/2652337059", "매물Link")</f>
        <v/>
      </c>
      <c r="M1941" s="6">
        <f>HYPERLINK("https://map.naver.com/p/search/연서면 용암리 산28-16", "지도Link")</f>
        <v/>
      </c>
      <c r="N1941" s="6">
        <f>HYPERLINK("http://www.eum.go.kr/web/ar/lu/luLandDet.jsp?pnu=3611036025200280016&amp;isNoScr=script&amp;mode=search", "토지이음")</f>
        <v/>
      </c>
      <c r="O1941" s="3" t="inlineStr">
        <is>
          <t>세종몽땅</t>
        </is>
      </c>
      <c r="P1941" s="4" t="n">
        <v>1</v>
      </c>
      <c r="Q1941" s="4" t="n">
        <v>1512</v>
      </c>
      <c r="R1941" s="3" t="inlineStr">
        <is>
          <t>지정되지않음</t>
        </is>
      </c>
      <c r="S1941" s="3" t="inlineStr">
        <is>
          <t>자연림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월하리 1035-2</t>
        </is>
      </c>
      <c r="B1942" s="3" t="inlineStr">
        <is>
          <t>자연녹지지역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176000</v>
      </c>
      <c r="G1942" s="4" t="n">
        <v>1455</v>
      </c>
      <c r="H1942" s="4" t="n">
        <v>440</v>
      </c>
      <c r="I1942" s="5" t="n">
        <v>400</v>
      </c>
      <c r="J1942" s="5" t="n">
        <v>113</v>
      </c>
      <c r="K1942" s="3" t="inlineStr">
        <is>
          <t>연서면 월하리 2차선, 4차선 계획 예정 도로에 접한 투자가치 좋은 급매</t>
        </is>
      </c>
      <c r="L1942" s="6">
        <f>HYPERLINK("https://fin.land.naver.com/articles/2652684372", "매물Link")</f>
        <v/>
      </c>
      <c r="M1942" s="6">
        <f>HYPERLINK("https://map.naver.com/p/search/연서면 월하리 1035-2", "지도Link")</f>
        <v/>
      </c>
      <c r="N1942" s="6">
        <f>HYPERLINK("http://www.eum.go.kr/web/ar/lu/luLandDet.jsp?pnu=3611036021110350002&amp;isNoScr=script&amp;mode=search",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1455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소로한면</t>
        </is>
      </c>
    </row>
    <row r="1943">
      <c r="A1943" s="3" t="inlineStr">
        <is>
          <t>연서면 월하리 1041</t>
        </is>
      </c>
      <c r="B1943" s="3" t="inlineStr">
        <is>
          <t>자연녹지지역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120000</v>
      </c>
      <c r="G1943" s="4" t="n">
        <v>1597</v>
      </c>
      <c r="H1943" s="4" t="n">
        <v>483</v>
      </c>
      <c r="I1943" s="5" t="n">
        <v>248.4</v>
      </c>
      <c r="J1943" s="5" t="n">
        <v>195.9</v>
      </c>
      <c r="K1943" s="3" t="inlineStr">
        <is>
          <t>월하리 자연녹지지역 저렴한 토지 급매. 포장도로 접함.</t>
        </is>
      </c>
      <c r="L1943" s="6">
        <f>HYPERLINK("https://fin.land.naver.com/articles/2651466882", "매물Link")</f>
        <v/>
      </c>
      <c r="M1943" s="6">
        <f>HYPERLINK("https://map.naver.com/p/search/연서면 월하리 1041", "지도Link")</f>
        <v/>
      </c>
      <c r="N1943" s="6">
        <f>HYPERLINK("http://www.eum.go.kr/web/ar/lu/luLandDet.jsp?pnu=3611036021110410000&amp;isNoScr=script&amp;mode=search", "토지이음")</f>
        <v/>
      </c>
      <c r="O1943" s="3" t="inlineStr">
        <is>
          <t>세종대장</t>
        </is>
      </c>
      <c r="P1943" s="4" t="n">
        <v>1</v>
      </c>
      <c r="Q1943" s="4" t="n">
        <v>1597</v>
      </c>
      <c r="R1943" s="3" t="inlineStr">
        <is>
          <t>지정되지않음</t>
        </is>
      </c>
      <c r="S1943" s="3" t="inlineStr">
        <is>
          <t>답기타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월하리 1054</t>
        </is>
      </c>
      <c r="B1944" s="3" t="inlineStr">
        <is>
          <t>자연녹지지역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186000</v>
      </c>
      <c r="G1944" s="4" t="n">
        <v>2205</v>
      </c>
      <c r="H1944" s="4" t="n">
        <v>667</v>
      </c>
      <c r="I1944" s="5" t="n">
        <v>278.9</v>
      </c>
      <c r="J1944" s="5" t="n">
        <v>96.59999999999999</v>
      </c>
      <c r="K1944" s="3" t="inlineStr">
        <is>
          <t>조치원공공주택지구 개발예정지 인근에 인접한 토지</t>
        </is>
      </c>
      <c r="L1944" s="6">
        <f>HYPERLINK("https://fin.land.naver.com/articles/2655258359", "매물Link")</f>
        <v/>
      </c>
      <c r="M1944" s="6">
        <f>HYPERLINK("https://map.naver.com/p/search/연서면 월하리 1054", "지도Link")</f>
        <v/>
      </c>
      <c r="N1944" s="6">
        <f>HYPERLINK("http://www.eum.go.kr/web/ar/lu/luLandDet.jsp?pnu=3611036021110540000&amp;isNoScr=script&amp;mode=search", "토지이음")</f>
        <v/>
      </c>
      <c r="O1944" s="3" t="inlineStr">
        <is>
          <t>세종대박</t>
        </is>
      </c>
      <c r="P1944" s="4" t="n">
        <v>1</v>
      </c>
      <c r="Q1944" s="4" t="n">
        <v>2205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월하리 1055-1</t>
        </is>
      </c>
      <c r="B1945" s="3" t="inlineStr">
        <is>
          <t>자연녹지지역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330000</v>
      </c>
      <c r="G1945" s="4" t="n">
        <v>3712</v>
      </c>
      <c r="H1945" s="4" t="n">
        <v>1123</v>
      </c>
      <c r="I1945" s="5" t="n">
        <v>293.9</v>
      </c>
      <c r="J1945" s="5" t="n">
        <v>96.59999999999999</v>
      </c>
      <c r="K1945" s="3" t="inlineStr">
        <is>
          <t>세종 조치원 공공주택지구 인근 투자용 토지 매매</t>
        </is>
      </c>
      <c r="L1945" s="6">
        <f>HYPERLINK("https://fin.land.naver.com/articles/2655091100", "매물Link")</f>
        <v/>
      </c>
      <c r="M1945" s="6">
        <f>HYPERLINK("https://map.naver.com/p/search/연서면 월하리 1055-1", "지도Link")</f>
        <v/>
      </c>
      <c r="N1945" s="6">
        <f>HYPERLINK("http://www.eum.go.kr/web/ar/lu/luLandDet.jsp?pnu=3611036021110550001&amp;isNoScr=script&amp;mode=search", "토지이음")</f>
        <v/>
      </c>
      <c r="O1945" s="3" t="inlineStr">
        <is>
          <t>(주)해뜰터</t>
        </is>
      </c>
      <c r="P1945" s="4" t="n">
        <v>1</v>
      </c>
      <c r="Q1945" s="4" t="n">
        <v>3712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월하리 1055-1</t>
        </is>
      </c>
      <c r="B1946" s="3" t="inlineStr">
        <is>
          <t>자연녹지지역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330000</v>
      </c>
      <c r="G1946" s="4" t="n">
        <v>3712</v>
      </c>
      <c r="H1946" s="4" t="n">
        <v>1123</v>
      </c>
      <c r="I1946" s="5" t="n">
        <v>293.9</v>
      </c>
      <c r="J1946" s="5" t="n">
        <v>96.59999999999999</v>
      </c>
      <c r="K1946" s="3" t="inlineStr">
        <is>
          <t>자연녹지토지 분할매매가능</t>
        </is>
      </c>
      <c r="L1946" s="6">
        <f>HYPERLINK("https://fin.land.naver.com/articles/2655258476", "매물Link")</f>
        <v/>
      </c>
      <c r="M1946" s="6">
        <f>HYPERLINK("https://map.naver.com/p/search/연서면 월하리 1055-1", "지도Link")</f>
        <v/>
      </c>
      <c r="N1946" s="6">
        <f>HYPERLINK("http://www.eum.go.kr/web/ar/lu/luLandDet.jsp?pnu=3611036021110550001&amp;isNoScr=script&amp;mode=search", "토지이음")</f>
        <v/>
      </c>
      <c r="O1946" s="3" t="inlineStr">
        <is>
          <t>세종대박</t>
        </is>
      </c>
      <c r="P1946" s="4" t="n">
        <v>2</v>
      </c>
      <c r="Q1946" s="4" t="n">
        <v>3712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연서면 월하리 1055-1</t>
        </is>
      </c>
      <c r="B1947" s="3" t="inlineStr">
        <is>
          <t>자연녹지지역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200000</v>
      </c>
      <c r="G1947" s="4" t="n">
        <v>1653</v>
      </c>
      <c r="H1947" s="4" t="n">
        <v>500</v>
      </c>
      <c r="I1947" s="5" t="n">
        <v>400</v>
      </c>
      <c r="J1947" s="5" t="n">
        <v>96.59999999999999</v>
      </c>
      <c r="K1947" s="3" t="inlineStr">
        <is>
          <t>nan</t>
        </is>
      </c>
      <c r="L1947" s="6">
        <f>HYPERLINK("https://fin.land.naver.com/articles/2655658047", "매물Link")</f>
        <v/>
      </c>
      <c r="M1947" s="6">
        <f>HYPERLINK("https://map.naver.com/p/search/연서면 월하리 1055-1", "지도Link")</f>
        <v/>
      </c>
      <c r="N1947" s="6">
        <f>HYPERLINK("http://www.eum.go.kr/web/ar/lu/luLandDet.jsp?pnu=3611036021110550001&amp;isNoScr=script&amp;mode=search", "토지이음")</f>
        <v/>
      </c>
      <c r="O1947" s="3" t="inlineStr">
        <is>
          <t>온뜰</t>
        </is>
      </c>
      <c r="P1947" s="4" t="n">
        <v>1</v>
      </c>
      <c r="Q1947" s="4" t="n">
        <v>3712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월하리 1056</t>
        </is>
      </c>
      <c r="B1948" s="3" t="inlineStr">
        <is>
          <t>자연녹지지역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247000</v>
      </c>
      <c r="G1948" s="4" t="n">
        <v>4087</v>
      </c>
      <c r="H1948" s="4" t="n">
        <v>1236</v>
      </c>
      <c r="I1948" s="5" t="n">
        <v>199.8</v>
      </c>
      <c r="J1948" s="5" t="n">
        <v>96.59999999999999</v>
      </c>
      <c r="K1948" s="3" t="inlineStr">
        <is>
          <t>월하리 포장도로 접한 자연녹지지역 밭으로 이용. 총 4필지로 급매.</t>
        </is>
      </c>
      <c r="L1948" s="6">
        <f>HYPERLINK("https://fin.land.naver.com/articles/2654844963", "매물Link")</f>
        <v/>
      </c>
      <c r="M1948" s="6">
        <f>HYPERLINK("https://map.naver.com/p/search/연서면 월하리 1056", "지도Link")</f>
        <v/>
      </c>
      <c r="N1948" s="6">
        <f>HYPERLINK("http://www.eum.go.kr/web/ar/lu/luLandDet.jsp?pnu=3611036021110560000&amp;isNoScr=script&amp;mode=search", "토지이음")</f>
        <v/>
      </c>
      <c r="O1948" s="3" t="inlineStr">
        <is>
          <t>세종대장</t>
        </is>
      </c>
      <c r="P1948" s="4" t="n">
        <v>1</v>
      </c>
      <c r="Q1948" s="4" t="n">
        <v>2086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연서면 월하리 1103-51</t>
        </is>
      </c>
      <c r="B1949" s="3" t="inlineStr">
        <is>
          <t>자연녹지지역</t>
        </is>
      </c>
      <c r="C1949" s="3" t="inlineStr">
        <is>
          <t>과수원</t>
        </is>
      </c>
      <c r="D1949" s="3" t="inlineStr">
        <is>
          <t>과수원</t>
        </is>
      </c>
      <c r="E1949" s="3" t="inlineStr">
        <is>
          <t>매매</t>
        </is>
      </c>
      <c r="F1949" s="4" t="n">
        <v>150000</v>
      </c>
      <c r="G1949" s="4" t="n">
        <v>3313</v>
      </c>
      <c r="H1949" s="4" t="n">
        <v>1002</v>
      </c>
      <c r="I1949" s="5" t="n">
        <v>149.7</v>
      </c>
      <c r="J1949" s="5" t="n">
        <v>72.2</v>
      </c>
      <c r="K1949" s="3" t="inlineStr">
        <is>
          <t>가격 조율가,조치원 공공택지 개발지 인근</t>
        </is>
      </c>
      <c r="L1949" s="6">
        <f>HYPERLINK("https://fin.land.naver.com/articles/2656083844", "매물Link")</f>
        <v/>
      </c>
      <c r="M1949" s="6">
        <f>HYPERLINK("https://map.naver.com/p/search/연서면 월하리 1103-51", "지도Link")</f>
        <v/>
      </c>
      <c r="N1949" s="6">
        <f>HYPERLINK("http://www.eum.go.kr/web/ar/lu/luLandDet.jsp?pnu=3611036021111030051&amp;isNoScr=script&amp;mode=search", "토지이음")</f>
        <v/>
      </c>
      <c r="O1949" s="3" t="inlineStr">
        <is>
          <t>나릿재OK</t>
        </is>
      </c>
      <c r="P1949" s="4" t="n">
        <v>1</v>
      </c>
      <c r="Q1949" s="4" t="n">
        <v>3313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1103-54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180000</v>
      </c>
      <c r="G1950" s="4" t="n">
        <v>1676</v>
      </c>
      <c r="H1950" s="4" t="n">
        <v>507</v>
      </c>
      <c r="I1950" s="5" t="n">
        <v>355</v>
      </c>
      <c r="J1950" s="5" t="n">
        <v>121.8</v>
      </c>
      <c r="K1950" s="3" t="inlineStr">
        <is>
          <t>2차선 도로에 접해 있어 근생 부지로 적합한 도시지역 자연녹지의 과수원</t>
        </is>
      </c>
      <c r="L1950" s="6">
        <f>HYPERLINK("https://fin.land.naver.com/articles/2651465498", "매물Link")</f>
        <v/>
      </c>
      <c r="M1950" s="6">
        <f>HYPERLINK("https://map.naver.com/p/search/연서면 월하리 1103-54", "지도Link")</f>
        <v/>
      </c>
      <c r="N1950" s="6">
        <f>HYPERLINK("http://www.eum.go.kr/web/ar/lu/luLandDet.jsp?pnu=3611036021111030054&amp;isNoScr=script&amp;mode=search",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1676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1138-4</t>
        </is>
      </c>
      <c r="B1951" s="3" t="inlineStr">
        <is>
          <t>자연녹지지역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68000</v>
      </c>
      <c r="G1951" s="4" t="n">
        <v>1818</v>
      </c>
      <c r="H1951" s="4" t="n">
        <v>550</v>
      </c>
      <c r="I1951" s="5" t="n">
        <v>123.6</v>
      </c>
      <c r="J1951" s="5" t="n">
        <v>69.59999999999999</v>
      </c>
      <c r="K1951" s="3" t="inlineStr">
        <is>
          <t>위치가 좋은 토지</t>
        </is>
      </c>
      <c r="L1951" s="6">
        <f>HYPERLINK("https://fin.land.naver.com/articles/2654845367", "매물Link")</f>
        <v/>
      </c>
      <c r="M1951" s="6">
        <f>HYPERLINK("https://map.naver.com/p/search/연서면 월하리 1138-4", "지도Link")</f>
        <v/>
      </c>
      <c r="N1951" s="6">
        <f>HYPERLINK("http://www.eum.go.kr/web/ar/lu/luLandDet.jsp?pnu=3611036021111380004&amp;isNoScr=script&amp;mode=search", "토지이음")</f>
        <v/>
      </c>
      <c r="O1951" s="3" t="inlineStr">
        <is>
          <t>세종리츠</t>
        </is>
      </c>
      <c r="P1951" s="4" t="n">
        <v>1</v>
      </c>
      <c r="Q1951" s="4" t="n">
        <v>1818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맹지</t>
        </is>
      </c>
    </row>
    <row r="1952">
      <c r="A1952" s="3" t="inlineStr">
        <is>
          <t>연서면 월하리 1153</t>
        </is>
      </c>
      <c r="B1952" s="3" t="inlineStr">
        <is>
          <t>자연녹지지역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27500</v>
      </c>
      <c r="G1952" s="4" t="n">
        <v>828</v>
      </c>
      <c r="H1952" s="4" t="n">
        <v>250</v>
      </c>
      <c r="I1952" s="5" t="n">
        <v>110</v>
      </c>
      <c r="J1952" s="5" t="n">
        <v>113.1</v>
      </c>
      <c r="K1952" s="3" t="inlineStr">
        <is>
          <t>월하리 도시지역 자연녹지의 포장도로에 접한 농촌체류형 쉼터로 적합한 전</t>
        </is>
      </c>
      <c r="L1952" s="6">
        <f>HYPERLINK("https://fin.land.naver.com/articles/2655805027", "매물Link")</f>
        <v/>
      </c>
      <c r="M1952" s="6">
        <f>HYPERLINK("https://map.naver.com/p/search/연서면 월하리 1153", "지도Link")</f>
        <v/>
      </c>
      <c r="N1952" s="6">
        <f>HYPERLINK("http://www.eum.go.kr/web/ar/lu/luLandDet.jsp?pnu=3611036021111530000&amp;isNoScr=script&amp;mode=search", "토지이음")</f>
        <v/>
      </c>
      <c r="O1952" s="3" t="inlineStr">
        <is>
          <t>스마일세종</t>
        </is>
      </c>
      <c r="P1952" s="4" t="n">
        <v>4</v>
      </c>
      <c r="Q1952" s="4" t="n">
        <v>650</v>
      </c>
      <c r="R1952" s="3" t="inlineStr">
        <is>
          <t>지정되지않음</t>
        </is>
      </c>
      <c r="S1952" s="3" t="inlineStr">
        <is>
          <t>전축사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1153</t>
        </is>
      </c>
      <c r="B1953" s="3" t="inlineStr">
        <is>
          <t>자연녹지지역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27500</v>
      </c>
      <c r="G1953" s="4" t="n">
        <v>826</v>
      </c>
      <c r="H1953" s="4" t="n">
        <v>250</v>
      </c>
      <c r="I1953" s="5" t="n">
        <v>110</v>
      </c>
      <c r="J1953" s="5" t="n">
        <v>113.1</v>
      </c>
      <c r="K1953" s="3" t="inlineStr">
        <is>
          <t>조치원 생활권 인접 도로접 자연녹지 토지</t>
        </is>
      </c>
      <c r="L1953" s="6">
        <f>HYPERLINK("https://fin.land.naver.com/articles/2655056197", "매물Link")</f>
        <v/>
      </c>
      <c r="M1953" s="6">
        <f>HYPERLINK("https://map.naver.com/p/search/연서면 월하리 1153", "지도Link")</f>
        <v/>
      </c>
      <c r="N1953" s="6">
        <f>HYPERLINK("http://www.eum.go.kr/web/ar/lu/luLandDet.jsp?pnu=3611036021111530000&amp;isNoScr=script&amp;mode=search", "토지이음")</f>
        <v/>
      </c>
      <c r="O1953" s="3" t="inlineStr">
        <is>
          <t>세종소담황금</t>
        </is>
      </c>
      <c r="P1953" s="4" t="n">
        <v>2</v>
      </c>
      <c r="Q1953" s="4" t="n">
        <v>650</v>
      </c>
      <c r="R1953" s="3" t="inlineStr">
        <is>
          <t>지정되지않음</t>
        </is>
      </c>
      <c r="S1953" s="3" t="inlineStr">
        <is>
          <t>전축사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1274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50000</v>
      </c>
      <c r="G1954" s="4" t="n">
        <v>3263</v>
      </c>
      <c r="H1954" s="4" t="n">
        <v>987</v>
      </c>
      <c r="I1954" s="5" t="n">
        <v>50.7</v>
      </c>
      <c r="J1954" s="5" t="n">
        <v>33</v>
      </c>
      <c r="K1954" s="3" t="inlineStr">
        <is>
          <t>농림진흥구역 농지,코너각지, 도로 양면 접, 대토추천</t>
        </is>
      </c>
      <c r="L1954" s="6">
        <f>HYPERLINK("https://fin.land.naver.com/articles/2654351170", "매물Link")</f>
        <v/>
      </c>
      <c r="M1954" s="6">
        <f>HYPERLINK("https://map.naver.com/p/search/연서면 월하리 1274", "지도Link")</f>
        <v/>
      </c>
      <c r="N1954" s="6">
        <f>HYPERLINK("http://www.eum.go.kr/web/ar/lu/luLandDet.jsp?pnu=3611036021112740000&amp;isNoScr=script&amp;mode=search", "토지이음")</f>
        <v/>
      </c>
      <c r="O1954" s="3" t="inlineStr">
        <is>
          <t>신안무소</t>
        </is>
      </c>
      <c r="P1954" s="4" t="n">
        <v>1</v>
      </c>
      <c r="Q1954" s="4" t="n">
        <v>3263.7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세로한면(가)</t>
        </is>
      </c>
    </row>
    <row r="1955">
      <c r="A1955" s="3" t="inlineStr">
        <is>
          <t>연서면 월하리 15-1</t>
        </is>
      </c>
      <c r="B1955" s="3" t="inlineStr">
        <is>
          <t>자연녹지지역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19000</v>
      </c>
      <c r="G1955" s="4" t="n">
        <v>407</v>
      </c>
      <c r="H1955" s="4" t="n">
        <v>123</v>
      </c>
      <c r="I1955" s="5" t="n">
        <v>154.5</v>
      </c>
      <c r="J1955" s="5" t="n">
        <v>105.5</v>
      </c>
      <c r="K1955" s="3" t="inlineStr">
        <is>
          <t>지목대지,건축가능</t>
        </is>
      </c>
      <c r="L1955" s="6">
        <f>HYPERLINK("https://fin.land.naver.com/articles/2655086153", "매물Link")</f>
        <v/>
      </c>
      <c r="M1955" s="6">
        <f>HYPERLINK("https://map.naver.com/p/search/연서면 월하리 15-1", "지도Link")</f>
        <v/>
      </c>
      <c r="N1955" s="6">
        <f>HYPERLINK("http://www.eum.go.kr/web/ar/lu/luLandDet.jsp?pnu=3611036021100150001&amp;isNoScr=script&amp;mode=search", "토지이음")</f>
        <v/>
      </c>
      <c r="O1955" s="3" t="inlineStr">
        <is>
          <t>세종대박</t>
        </is>
      </c>
      <c r="P1955" s="4" t="n">
        <v>2</v>
      </c>
      <c r="Q1955" s="4" t="n">
        <v>407</v>
      </c>
      <c r="R1955" s="3" t="inlineStr">
        <is>
          <t>지정되지않음</t>
        </is>
      </c>
      <c r="S1955" s="3" t="inlineStr">
        <is>
          <t>단독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연서면 월하리 25-7</t>
        </is>
      </c>
      <c r="B1956" s="3" t="inlineStr">
        <is>
          <t>자연녹지지역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130000</v>
      </c>
      <c r="G1956" s="4" t="n">
        <v>1615</v>
      </c>
      <c r="H1956" s="4" t="n">
        <v>489</v>
      </c>
      <c r="I1956" s="5" t="n">
        <v>265.8</v>
      </c>
      <c r="J1956" s="5" t="n">
        <v>76.40000000000001</v>
      </c>
      <c r="K1956" s="3" t="inlineStr">
        <is>
          <t>도시지역내 자연녹지,미호강변 개발가능</t>
        </is>
      </c>
      <c r="L1956" s="6">
        <f>HYPERLINK("https://fin.land.naver.com/articles/2650859611", "매물Link")</f>
        <v/>
      </c>
      <c r="M1956" s="6">
        <f>HYPERLINK("https://map.naver.com/p/search/연서면 월하리 25-7", "지도Link")</f>
        <v/>
      </c>
      <c r="N1956" s="6">
        <f>HYPERLINK("http://www.eum.go.kr/web/ar/lu/luLandDet.jsp?pnu=3611036021100250007&amp;isNoScr=script&amp;mode=search", "토지이음")</f>
        <v/>
      </c>
      <c r="O1956" s="3" t="inlineStr">
        <is>
          <t>세종대박</t>
        </is>
      </c>
      <c r="P1956" s="4" t="n">
        <v>1</v>
      </c>
      <c r="Q1956" s="4" t="n">
        <v>1301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25-7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전</t>
        </is>
      </c>
      <c r="E1957" s="3" t="inlineStr">
        <is>
          <t>매매</t>
        </is>
      </c>
      <c r="F1957" s="4" t="n">
        <v>130000</v>
      </c>
      <c r="G1957" s="4" t="n">
        <v>1615</v>
      </c>
      <c r="H1957" s="4" t="n">
        <v>489</v>
      </c>
      <c r="I1957" s="5" t="n">
        <v>265.8</v>
      </c>
      <c r="J1957" s="5" t="n">
        <v>76.40000000000001</v>
      </c>
      <c r="K1957" s="3" t="inlineStr">
        <is>
          <t>미호강인근,주택부지포함,차도바로옆 금액최대협의</t>
        </is>
      </c>
      <c r="L1957" s="6">
        <f>HYPERLINK("https://fin.land.naver.com/articles/2654258120", "매물Link")</f>
        <v/>
      </c>
      <c r="M1957" s="6">
        <f>HYPERLINK("https://map.naver.com/p/search/연서면 월하리 25-7", "지도Link")</f>
        <v/>
      </c>
      <c r="N1957" s="6">
        <f>HYPERLINK("http://www.eum.go.kr/web/ar/lu/luLandDet.jsp?pnu=3611036021100250007&amp;isNoScr=script&amp;mode=search", "토지이음")</f>
        <v/>
      </c>
      <c r="O1957" s="3" t="inlineStr">
        <is>
          <t>세종새빛</t>
        </is>
      </c>
      <c r="P1957" s="4" t="n">
        <v>1</v>
      </c>
      <c r="Q1957" s="4" t="n">
        <v>1301</v>
      </c>
      <c r="R1957" s="3" t="inlineStr">
        <is>
          <t>지정되지않음</t>
        </is>
      </c>
      <c r="S1957" s="3" t="inlineStr">
        <is>
          <t>전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월하리 27</t>
        </is>
      </c>
      <c r="B1958" s="3" t="inlineStr">
        <is>
          <t>자연녹지지역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132000</v>
      </c>
      <c r="G1958" s="4" t="n">
        <v>1746</v>
      </c>
      <c r="H1958" s="4" t="n">
        <v>528</v>
      </c>
      <c r="I1958" s="5" t="n">
        <v>250</v>
      </c>
      <c r="J1958" s="5" t="n">
        <v>75.7</v>
      </c>
      <c r="K1958" s="3" t="inlineStr">
        <is>
          <t>미호강변 오천자전거길 옆 카페나 주택지, 근생으로 개발해도 좋음</t>
        </is>
      </c>
      <c r="L1958" s="6">
        <f>HYPERLINK("https://fin.land.naver.com/articles/2652099294", "매물Link")</f>
        <v/>
      </c>
      <c r="M1958" s="6">
        <f>HYPERLINK("https://map.naver.com/p/search/연서면 월하리 27", "지도Link")</f>
        <v/>
      </c>
      <c r="N1958" s="6">
        <f>HYPERLINK("http://www.eum.go.kr/web/ar/lu/luLandDet.jsp?pnu=3611036021100270000&amp;isNoScr=script&amp;mode=search", "토지이음")</f>
        <v/>
      </c>
      <c r="O1958" s="3" t="inlineStr">
        <is>
          <t>미스터홈즈강남지사</t>
        </is>
      </c>
      <c r="P1958" s="4" t="n">
        <v>1</v>
      </c>
      <c r="Q1958" s="4" t="n">
        <v>983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세로한면(가)</t>
        </is>
      </c>
    </row>
    <row r="1959">
      <c r="A1959" s="3" t="inlineStr">
        <is>
          <t>연서면 월하리 35-3</t>
        </is>
      </c>
      <c r="B1959" s="3" t="inlineStr">
        <is>
          <t>계획관리지역</t>
        </is>
      </c>
      <c r="C1959" s="3" t="inlineStr">
        <is>
          <t>공장용지</t>
        </is>
      </c>
      <c r="D1959" s="3" t="inlineStr">
        <is>
          <t>공장용지</t>
        </is>
      </c>
      <c r="E1959" s="3" t="inlineStr">
        <is>
          <t>매매</t>
        </is>
      </c>
      <c r="F1959" s="4" t="n">
        <v>69000</v>
      </c>
      <c r="G1959" s="4" t="n">
        <v>987</v>
      </c>
      <c r="H1959" s="4" t="n">
        <v>299</v>
      </c>
      <c r="I1959" s="5" t="n">
        <v>230.8</v>
      </c>
      <c r="J1959" s="5" t="n">
        <v>73.3</v>
      </c>
      <c r="K1959" s="3" t="inlineStr">
        <is>
          <t>공장부지, 299P, 주차6대, 1층 공장 건물 및 부속건물</t>
        </is>
      </c>
      <c r="L1959" s="6">
        <f>HYPERLINK("https://fin.land.naver.com/articles/2650988901", "매물Link")</f>
        <v/>
      </c>
      <c r="M1959" s="6">
        <f>HYPERLINK("https://map.naver.com/p/search/연서면 월하리 35-3", "지도Link")</f>
        <v/>
      </c>
      <c r="N1959" s="6">
        <f>HYPERLINK("http://www.eum.go.kr/web/ar/lu/luLandDet.jsp?pnu=3611036021100350003&amp;isNoScr=script&amp;mode=search", "토지이음")</f>
        <v/>
      </c>
      <c r="O1959" s="3" t="inlineStr">
        <is>
          <t>엄마와딸</t>
        </is>
      </c>
      <c r="P1959" s="4" t="n">
        <v>1</v>
      </c>
      <c r="Q1959" s="4" t="n">
        <v>987</v>
      </c>
      <c r="R1959" s="3" t="inlineStr">
        <is>
          <t>지정되지않음</t>
        </is>
      </c>
      <c r="S1959" s="3" t="inlineStr">
        <is>
          <t>공업용</t>
        </is>
      </c>
      <c r="T1959" s="3" t="inlineStr">
        <is>
          <t>평지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연서면 월하리 35-7</t>
        </is>
      </c>
      <c r="B1960" s="3" t="inlineStr">
        <is>
          <t>계획관리지역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100000</v>
      </c>
      <c r="G1960" s="4" t="n">
        <v>1077</v>
      </c>
      <c r="H1960" s="4" t="n">
        <v>326</v>
      </c>
      <c r="I1960" s="5" t="n">
        <v>306.7</v>
      </c>
      <c r="J1960" s="5" t="n">
        <v>62.5</v>
      </c>
      <c r="K1960" s="3" t="inlineStr">
        <is>
          <t>미호강이 흐르는 경치 좋은 곳에 카페, 식당  상업용을 추천합니다.</t>
        </is>
      </c>
      <c r="L1960" s="6">
        <f>HYPERLINK("https://fin.land.naver.com/articles/2655877199", "매물Link")</f>
        <v/>
      </c>
      <c r="M1960" s="6">
        <f>HYPERLINK("https://map.naver.com/p/search/연서면 월하리 35-7", "지도Link")</f>
        <v/>
      </c>
      <c r="N1960" s="6">
        <f>HYPERLINK("http://www.eum.go.kr/web/ar/lu/luLandDet.jsp?pnu=3611036021100350007&amp;isNoScr=script&amp;mode=search", "토지이음")</f>
        <v/>
      </c>
      <c r="O1960" s="3" t="inlineStr">
        <is>
          <t>효자</t>
        </is>
      </c>
      <c r="P1960" s="4" t="n">
        <v>1</v>
      </c>
      <c r="Q1960" s="4" t="n">
        <v>1077</v>
      </c>
      <c r="R1960" s="3" t="inlineStr">
        <is>
          <t>지정되지않음</t>
        </is>
      </c>
      <c r="S1960" s="3" t="inlineStr">
        <is>
          <t>주거기타</t>
        </is>
      </c>
      <c r="T1960" s="3" t="inlineStr">
        <is>
          <t>평지</t>
        </is>
      </c>
      <c r="U1960" s="3" t="inlineStr">
        <is>
          <t>자루형</t>
        </is>
      </c>
      <c r="V1960" s="3" t="inlineStr">
        <is>
          <t>세로한면(가)</t>
        </is>
      </c>
    </row>
    <row r="1961">
      <c r="A1961" s="3" t="inlineStr">
        <is>
          <t>연서면 월하리 619</t>
        </is>
      </c>
      <c r="B1961" s="3" t="inlineStr">
        <is>
          <t>자연녹지지역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250000</v>
      </c>
      <c r="G1961" s="4" t="n">
        <v>2400</v>
      </c>
      <c r="H1961" s="4" t="n">
        <v>726</v>
      </c>
      <c r="I1961" s="5" t="n">
        <v>344.4</v>
      </c>
      <c r="J1961" s="5" t="n">
        <v>61.5</v>
      </c>
      <c r="K1961" s="3" t="inlineStr">
        <is>
          <t>명성공인, 월하리, 1번국도 가까운 활용도 좋은 추천 매물</t>
        </is>
      </c>
      <c r="L1961" s="6">
        <f>HYPERLINK("https://fin.land.naver.com/articles/2652073523", "매물Link")</f>
        <v/>
      </c>
      <c r="M1961" s="6">
        <f>HYPERLINK("https://map.naver.com/p/search/연서면 월하리 619", "지도Link")</f>
        <v/>
      </c>
      <c r="N1961" s="6">
        <f>HYPERLINK("http://www.eum.go.kr/web/ar/lu/luLandDet.jsp?pnu=3611036021106190000&amp;isNoScr=script&amp;mode=search",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963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연서면 월하리 658-4</t>
        </is>
      </c>
      <c r="B1962" s="3" t="inlineStr">
        <is>
          <t>계획관리지역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98000</v>
      </c>
      <c r="G1962" s="4" t="n">
        <v>463</v>
      </c>
      <c r="H1962" s="4" t="n">
        <v>140</v>
      </c>
      <c r="I1962" s="5" t="n">
        <v>700</v>
      </c>
      <c r="J1962" s="5" t="n">
        <v>163.7</v>
      </c>
      <c r="K1962" s="3" t="inlineStr">
        <is>
          <t>도로 인접한  활용도 높은  토지 매매</t>
        </is>
      </c>
      <c r="L1962" s="6">
        <f>HYPERLINK("https://fin.land.naver.com/articles/2655178687", "매물Link")</f>
        <v/>
      </c>
      <c r="M1962" s="6">
        <f>HYPERLINK("https://map.naver.com/p/search/연서면 월하리 658-4", "지도Link")</f>
        <v/>
      </c>
      <c r="N1962" s="6">
        <f>HYPERLINK("http://www.eum.go.kr/web/ar/lu/luLandDet.jsp?pnu=3611036021106580004&amp;isNoScr=script&amp;mode=search", "토지이음")</f>
        <v/>
      </c>
      <c r="O1962" s="3" t="inlineStr">
        <is>
          <t>오송2단지창조</t>
        </is>
      </c>
      <c r="P1962" s="4" t="n">
        <v>1</v>
      </c>
      <c r="Q1962" s="4" t="n">
        <v>463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광대로한면</t>
        </is>
      </c>
    </row>
    <row r="1963">
      <c r="A1963" s="3" t="inlineStr">
        <is>
          <t>연서면 월하리 658-8</t>
        </is>
      </c>
      <c r="B1963" s="3" t="inlineStr">
        <is>
          <t>계획관리지역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87500</v>
      </c>
      <c r="G1963" s="4" t="n">
        <v>414</v>
      </c>
      <c r="H1963" s="4" t="n">
        <v>125</v>
      </c>
      <c r="I1963" s="5" t="n">
        <v>700</v>
      </c>
      <c r="J1963" s="5" t="n">
        <v>163.7</v>
      </c>
      <c r="K1963" s="3" t="inlineStr">
        <is>
          <t>대도로변에 위치해 있는 토지 매매</t>
        </is>
      </c>
      <c r="L1963" s="6">
        <f>HYPERLINK("https://fin.land.naver.com/articles/2655178355", "매물Link")</f>
        <v/>
      </c>
      <c r="M1963" s="6">
        <f>HYPERLINK("https://map.naver.com/p/search/연서면 월하리 658-8", "지도Link")</f>
        <v/>
      </c>
      <c r="N1963" s="6">
        <f>HYPERLINK("http://www.eum.go.kr/web/ar/lu/luLandDet.jsp?pnu=3611036021106580008&amp;isNoScr=script&amp;mode=search", "토지이음")</f>
        <v/>
      </c>
      <c r="O1963" s="3" t="inlineStr">
        <is>
          <t>오송2단지창조</t>
        </is>
      </c>
      <c r="P1963" s="4" t="n">
        <v>1</v>
      </c>
      <c r="Q1963" s="4" t="n">
        <v>414</v>
      </c>
      <c r="R1963" s="3" t="inlineStr">
        <is>
          <t>지정되지않음</t>
        </is>
      </c>
      <c r="S1963" s="3" t="inlineStr">
        <is>
          <t>전기타</t>
        </is>
      </c>
      <c r="T1963" s="3" t="inlineStr">
        <is>
          <t>평지</t>
        </is>
      </c>
      <c r="U1963" s="3" t="inlineStr">
        <is>
          <t>사다리형</t>
        </is>
      </c>
      <c r="V1963" s="3" t="inlineStr">
        <is>
          <t>광대로한면</t>
        </is>
      </c>
    </row>
    <row r="1964">
      <c r="A1964" s="3" t="inlineStr">
        <is>
          <t>연서면 월하리 663-38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474300</v>
      </c>
      <c r="G1964" s="4" t="n">
        <v>5229</v>
      </c>
      <c r="H1964" s="4" t="n">
        <v>1582</v>
      </c>
      <c r="I1964" s="5" t="n">
        <v>299.8</v>
      </c>
      <c r="J1964" s="5" t="n">
        <v>102.4</v>
      </c>
      <c r="K1964" s="3" t="inlineStr">
        <is>
          <t>위치 좋은 넓은 토지.연락주세요</t>
        </is>
      </c>
      <c r="L1964" s="6">
        <f>HYPERLINK("https://fin.land.naver.com/articles/2654077441", "매물Link")</f>
        <v/>
      </c>
      <c r="M1964" s="6">
        <f>HYPERLINK("https://map.naver.com/p/search/연서면 월하리 663-38", "지도Link")</f>
        <v/>
      </c>
      <c r="N1964" s="6">
        <f>HYPERLINK("http://www.eum.go.kr/web/ar/lu/luLandDet.jsp?pnu=3611036021106630038&amp;isNoScr=script&amp;mode=search", "토지이음")</f>
        <v/>
      </c>
      <c r="O1964" s="3" t="inlineStr">
        <is>
          <t>수자인</t>
        </is>
      </c>
      <c r="P1964" s="4" t="n">
        <v>1</v>
      </c>
      <c r="Q1964" s="4" t="n">
        <v>5222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사다리형</t>
        </is>
      </c>
      <c r="V1964" s="3" t="inlineStr">
        <is>
          <t>세로한면(가)</t>
        </is>
      </c>
    </row>
    <row r="1965">
      <c r="A1965" s="3" t="inlineStr">
        <is>
          <t>연서면 월하리 707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252000</v>
      </c>
      <c r="G1965" s="4" t="n">
        <v>4637</v>
      </c>
      <c r="H1965" s="4" t="n">
        <v>1403</v>
      </c>
      <c r="I1965" s="5" t="n">
        <v>179.6</v>
      </c>
      <c r="J1965" s="5" t="n">
        <v>91.2</v>
      </c>
      <c r="K1965" s="3" t="inlineStr">
        <is>
          <t>코너 2차선에 접하고 향후 4차선 계획도로 예정임. 시세보다 저렴.</t>
        </is>
      </c>
      <c r="L1965" s="6">
        <f>HYPERLINK("https://fin.land.naver.com/articles/2654844821", "매물Link")</f>
        <v/>
      </c>
      <c r="M1965" s="6">
        <f>HYPERLINK("https://map.naver.com/p/search/연서면 월하리 707", "지도Link")</f>
        <v/>
      </c>
      <c r="N1965" s="6">
        <f>HYPERLINK("http://www.eum.go.kr/web/ar/lu/luLandDet.jsp?pnu=3611036021107070000&amp;isNoScr=script&amp;mode=search", "토지이음")</f>
        <v/>
      </c>
      <c r="O1965" s="3" t="inlineStr">
        <is>
          <t>세종대장</t>
        </is>
      </c>
      <c r="P1965" s="4" t="n">
        <v>1</v>
      </c>
      <c r="Q1965" s="4" t="n">
        <v>3838</v>
      </c>
      <c r="R1965" s="3" t="inlineStr">
        <is>
          <t>지정되지않음</t>
        </is>
      </c>
      <c r="S1965" s="3" t="inlineStr">
        <is>
          <t>전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월하리 730</t>
        </is>
      </c>
      <c r="B1966" s="3" t="inlineStr">
        <is>
          <t>자연녹지지역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196000</v>
      </c>
      <c r="G1966" s="4" t="n">
        <v>1856</v>
      </c>
      <c r="H1966" s="4" t="n">
        <v>561</v>
      </c>
      <c r="I1966" s="5" t="n">
        <v>349.4</v>
      </c>
      <c r="J1966" s="5" t="n">
        <v>121.8</v>
      </c>
      <c r="K1966" s="3" t="inlineStr">
        <is>
          <t>연서면 월하리 2차선  접한  자연녹지, 4차선계획도로이며 분할매매 가능</t>
        </is>
      </c>
      <c r="L1966" s="6">
        <f>HYPERLINK("https://fin.land.naver.com/articles/2652083823", "매물Link")</f>
        <v/>
      </c>
      <c r="M1966" s="6">
        <f>HYPERLINK("https://map.naver.com/p/search/연서면 월하리 730", "지도Link")</f>
        <v/>
      </c>
      <c r="N1966" s="6">
        <f>HYPERLINK("http://www.eum.go.kr/web/ar/lu/luLandDet.jsp?pnu=3611036021107300000&amp;isNoScr=script&amp;mode=search", "토지이음")</f>
        <v/>
      </c>
      <c r="O1966" s="3" t="inlineStr">
        <is>
          <t>the다올</t>
        </is>
      </c>
      <c r="P1966" s="4" t="n">
        <v>2</v>
      </c>
      <c r="Q1966" s="4" t="n">
        <v>1856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월하리 766</t>
        </is>
      </c>
      <c r="B1967" s="3" t="inlineStr">
        <is>
          <t>자연녹지지역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200000</v>
      </c>
      <c r="G1967" s="4" t="n">
        <v>3305</v>
      </c>
      <c r="H1967" s="4" t="n">
        <v>1000</v>
      </c>
      <c r="I1967" s="5" t="n">
        <v>200</v>
      </c>
      <c r="J1967" s="5" t="n">
        <v>128.3</v>
      </c>
      <c r="K1967" s="3" t="inlineStr">
        <is>
          <t>조치원 공공주택지구에 인접한 2차선변 1천평 토지 매매</t>
        </is>
      </c>
      <c r="L1967" s="6">
        <f>HYPERLINK("https://fin.land.naver.com/articles/2652068500", "매물Link")</f>
        <v/>
      </c>
      <c r="M1967" s="6">
        <f>HYPERLINK("https://map.naver.com/p/search/연서면 월하리 766", "지도Link")</f>
        <v/>
      </c>
      <c r="N1967" s="6">
        <f>HYPERLINK("http://www.eum.go.kr/web/ar/lu/luLandDet.jsp?pnu=3611036021107660000&amp;isNoScr=script&amp;mode=search", "토지이음")</f>
        <v/>
      </c>
      <c r="O1967" s="3" t="inlineStr">
        <is>
          <t>신와촌</t>
        </is>
      </c>
      <c r="P1967" s="4" t="n">
        <v>1</v>
      </c>
      <c r="Q1967" s="4" t="n">
        <v>3306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소로한면</t>
        </is>
      </c>
    </row>
    <row r="1968">
      <c r="A1968" s="3" t="inlineStr">
        <is>
          <t>연서면 월하리 794-1</t>
        </is>
      </c>
      <c r="B1968" s="3" t="inlineStr">
        <is>
          <t>자연녹지지역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82000</v>
      </c>
      <c r="G1968" s="4" t="n">
        <v>845</v>
      </c>
      <c r="H1968" s="4" t="n">
        <v>256</v>
      </c>
      <c r="I1968" s="5" t="n">
        <v>320.3</v>
      </c>
      <c r="J1968" s="5" t="n">
        <v>128.3</v>
      </c>
      <c r="K1968" s="3" t="inlineStr">
        <is>
          <t>2차선변,월하리 토지매매.</t>
        </is>
      </c>
      <c r="L1968" s="6">
        <f>HYPERLINK("https://fin.land.naver.com/articles/2651374054", "매물Link")</f>
        <v/>
      </c>
      <c r="M1968" s="6">
        <f>HYPERLINK("https://map.naver.com/p/search/연서면 월하리 794-1", "지도Link")</f>
        <v/>
      </c>
      <c r="N1968" s="6">
        <f>HYPERLINK("http://www.eum.go.kr/web/ar/lu/luLandDet.jsp?pnu=3611036021107940001&amp;isNoScr=script&amp;mode=search", "토지이음")</f>
        <v/>
      </c>
      <c r="O1968" s="3" t="inlineStr">
        <is>
          <t>세종강산</t>
        </is>
      </c>
      <c r="P1968" s="4" t="n">
        <v>1</v>
      </c>
      <c r="Q1968" s="4" t="n">
        <v>845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평지</t>
        </is>
      </c>
      <c r="U1968" s="3" t="inlineStr">
        <is>
          <t>부정형</t>
        </is>
      </c>
      <c r="V1968" s="3" t="inlineStr">
        <is>
          <t>소로한면</t>
        </is>
      </c>
    </row>
    <row r="1969">
      <c r="A1969" s="3" t="inlineStr">
        <is>
          <t>연서면 월하리 809</t>
        </is>
      </c>
      <c r="B1969" s="3" t="inlineStr">
        <is>
          <t>자연녹지지역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48000</v>
      </c>
      <c r="G1969" s="4" t="n">
        <v>668</v>
      </c>
      <c r="H1969" s="4" t="n">
        <v>202</v>
      </c>
      <c r="I1969" s="5" t="n">
        <v>237.6</v>
      </c>
      <c r="J1969" s="5" t="n">
        <v>156.1</v>
      </c>
      <c r="K1969" s="3" t="inlineStr">
        <is>
          <t>월하리 2차선 도로접한 대지 급매. 자연취락지구로 토지거래허가구역임</t>
        </is>
      </c>
      <c r="L1969" s="6">
        <f>HYPERLINK("https://fin.land.naver.com/articles/2652535473", "매물Link")</f>
        <v/>
      </c>
      <c r="M1969" s="6">
        <f>HYPERLINK("https://map.naver.com/p/search/연서면 월하리 809", "지도Link")</f>
        <v/>
      </c>
      <c r="N1969" s="6">
        <f>HYPERLINK("http://www.eum.go.kr/web/ar/lu/luLandDet.jsp?pnu=3611036021108090000&amp;isNoScr=script&amp;mode=search", "토지이음")</f>
        <v/>
      </c>
      <c r="O1969" s="3" t="inlineStr">
        <is>
          <t>세종대장</t>
        </is>
      </c>
      <c r="P1969" s="4" t="n">
        <v>1</v>
      </c>
      <c r="Q1969" s="4" t="n">
        <v>668</v>
      </c>
      <c r="R1969" s="3" t="inlineStr">
        <is>
          <t>지정되지않음</t>
        </is>
      </c>
      <c r="S1969" s="3" t="inlineStr">
        <is>
          <t>단독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월하리 818-1</t>
        </is>
      </c>
      <c r="B1970" s="3" t="inlineStr">
        <is>
          <t>자연녹지지역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78000</v>
      </c>
      <c r="G1970" s="4" t="n">
        <v>745</v>
      </c>
      <c r="H1970" s="4" t="n">
        <v>225</v>
      </c>
      <c r="I1970" s="5" t="n">
        <v>346.7</v>
      </c>
      <c r="J1970" s="5" t="n">
        <v>80.3</v>
      </c>
      <c r="K1970" s="3" t="inlineStr">
        <is>
          <t>조치원 월하리 아파트 분양 예정지 근접,개발 투자가치로 좋아요</t>
        </is>
      </c>
      <c r="L1970" s="6">
        <f>HYPERLINK("https://fin.land.naver.com/articles/2651463269", "매물Link")</f>
        <v/>
      </c>
      <c r="M1970" s="6">
        <f>HYPERLINK("https://map.naver.com/p/search/연서면 월하리 818-1", "지도Link")</f>
        <v/>
      </c>
      <c r="N1970" s="6">
        <f>HYPERLINK("http://www.eum.go.kr/web/ar/lu/luLandDet.jsp?pnu=3611036021108180001&amp;isNoScr=script&amp;mode=search", "토지이음")</f>
        <v/>
      </c>
      <c r="O1970" s="3" t="inlineStr">
        <is>
          <t>담뜰</t>
        </is>
      </c>
      <c r="P1970" s="4" t="n">
        <v>1</v>
      </c>
      <c r="Q1970" s="4" t="n">
        <v>745</v>
      </c>
      <c r="R1970" s="3" t="inlineStr">
        <is>
          <t>지정되지않음</t>
        </is>
      </c>
      <c r="S1970" s="3" t="inlineStr">
        <is>
          <t>과수원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세로한면(가)</t>
        </is>
      </c>
    </row>
    <row r="1971">
      <c r="A1971" s="3" t="inlineStr">
        <is>
          <t>연서면 월하리 889-1</t>
        </is>
      </c>
      <c r="B1971" s="3" t="inlineStr">
        <is>
          <t>자연녹지지역</t>
        </is>
      </c>
      <c r="C1971" s="3" t="inlineStr">
        <is>
          <t>과수원</t>
        </is>
      </c>
      <c r="D1971" s="3" t="inlineStr">
        <is>
          <t>과수원</t>
        </is>
      </c>
      <c r="E1971" s="3" t="inlineStr">
        <is>
          <t>매매</t>
        </is>
      </c>
      <c r="F1971" s="4" t="n">
        <v>442000</v>
      </c>
      <c r="G1971" s="4" t="n">
        <v>5415</v>
      </c>
      <c r="H1971" s="4" t="n">
        <v>1638</v>
      </c>
      <c r="I1971" s="5" t="n">
        <v>269.8</v>
      </c>
      <c r="J1971" s="5" t="n">
        <v>81.3</v>
      </c>
      <c r="K1971" s="3" t="inlineStr">
        <is>
          <t>월하리 공동주택 개발구역근접토지,스마트산업단지 근접</t>
        </is>
      </c>
      <c r="L1971" s="6">
        <f>HYPERLINK("https://fin.land.naver.com/articles/2651522925", "매물Link")</f>
        <v/>
      </c>
      <c r="M1971" s="6">
        <f>HYPERLINK("https://map.naver.com/p/search/연서면 월하리 889-1", "지도Link")</f>
        <v/>
      </c>
      <c r="N1971" s="6">
        <f>HYPERLINK("http://www.eum.go.kr/web/ar/lu/luLandDet.jsp?pnu=3611036021108890001&amp;isNoScr=script&amp;mode=search", "토지이음")</f>
        <v/>
      </c>
      <c r="O1971" s="3" t="inlineStr">
        <is>
          <t>담뜰</t>
        </is>
      </c>
      <c r="P1971" s="4" t="n">
        <v>1</v>
      </c>
      <c r="Q1971" s="4" t="n">
        <v>5415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완경사</t>
        </is>
      </c>
      <c r="U1971" s="3" t="inlineStr">
        <is>
          <t>부정형</t>
        </is>
      </c>
      <c r="V1971" s="3" t="inlineStr">
        <is>
          <t>세로한면(불)</t>
        </is>
      </c>
    </row>
    <row r="1972">
      <c r="A1972" s="3" t="inlineStr">
        <is>
          <t>연서면 월하리 898</t>
        </is>
      </c>
      <c r="B1972" s="3" t="inlineStr">
        <is>
          <t>자연녹지지역</t>
        </is>
      </c>
      <c r="C1972" s="3" t="inlineStr">
        <is>
          <t>답</t>
        </is>
      </c>
      <c r="D1972" s="3" t="inlineStr">
        <is>
          <t>답</t>
        </is>
      </c>
      <c r="E1972" s="3" t="inlineStr">
        <is>
          <t>매매</t>
        </is>
      </c>
      <c r="F1972" s="4" t="n">
        <v>200000</v>
      </c>
      <c r="G1972" s="4" t="n">
        <v>1652</v>
      </c>
      <c r="H1972" s="4" t="n">
        <v>500</v>
      </c>
      <c r="I1972" s="5" t="n">
        <v>400</v>
      </c>
      <c r="J1972" s="5" t="n">
        <v>100.6</v>
      </c>
      <c r="K1972" s="3" t="inlineStr">
        <is>
          <t>포장도로 접한 답. 조치원 공공주택지구 인근 자연녹지</t>
        </is>
      </c>
      <c r="L1972" s="6">
        <f>HYPERLINK("https://fin.land.naver.com/articles/2654244524", "매물Link")</f>
        <v/>
      </c>
      <c r="M1972" s="6">
        <f>HYPERLINK("https://map.naver.com/p/search/연서면 월하리 898", "지도Link")</f>
        <v/>
      </c>
      <c r="N1972" s="6">
        <f>HYPERLINK("http://www.eum.go.kr/web/ar/lu/luLandDet.jsp?pnu=3611036021108980000&amp;isNoScr=script&amp;mode=search", "토지이음")</f>
        <v/>
      </c>
      <c r="O1972" s="3" t="inlineStr">
        <is>
          <t>미스터홈즈강남지사</t>
        </is>
      </c>
      <c r="P1972" s="4" t="n">
        <v>1</v>
      </c>
      <c r="Q1972" s="4" t="n">
        <v>1084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세로한면(가)</t>
        </is>
      </c>
    </row>
    <row r="1973">
      <c r="A1973" s="3" t="inlineStr">
        <is>
          <t>연서면 월하리 913-1</t>
        </is>
      </c>
      <c r="B1973" s="3" t="inlineStr">
        <is>
          <t>자연녹지지역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137800</v>
      </c>
      <c r="G1973" s="4" t="n">
        <v>2278</v>
      </c>
      <c r="H1973" s="4" t="n">
        <v>689</v>
      </c>
      <c r="I1973" s="5" t="n">
        <v>200</v>
      </c>
      <c r="J1973" s="5" t="n">
        <v>89.90000000000001</v>
      </c>
      <c r="K1973" s="3" t="inlineStr">
        <is>
          <t>월하리 자연녹지역 농지 2필지 일괄 매매.</t>
        </is>
      </c>
      <c r="L1973" s="6">
        <f>HYPERLINK("https://fin.land.naver.com/articles/2654030990", "매물Link")</f>
        <v/>
      </c>
      <c r="M1973" s="6">
        <f>HYPERLINK("https://map.naver.com/p/search/연서면 월하리 913-1", "지도Link")</f>
        <v/>
      </c>
      <c r="N1973" s="6">
        <f>HYPERLINK("http://www.eum.go.kr/web/ar/lu/luLandDet.jsp?pnu=3611036021109130001&amp;isNoScr=script&amp;mode=search",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1329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세로한면(불)</t>
        </is>
      </c>
    </row>
    <row r="1974">
      <c r="A1974" s="3" t="inlineStr">
        <is>
          <t>연서면 월하리 960-4</t>
        </is>
      </c>
      <c r="B1974" s="3" t="inlineStr">
        <is>
          <t>자연녹지지역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70000</v>
      </c>
      <c r="G1974" s="4" t="n">
        <v>574</v>
      </c>
      <c r="H1974" s="4" t="n">
        <v>174</v>
      </c>
      <c r="I1974" s="5" t="n">
        <v>402.3</v>
      </c>
      <c r="J1974" s="5" t="n">
        <v>208.2</v>
      </c>
      <c r="K1974" s="3" t="inlineStr">
        <is>
          <t>2차선 도로에 접한 3거리 코너각지에 있는 도시지역자연녹지  투자용 토지</t>
        </is>
      </c>
      <c r="L1974" s="6">
        <f>HYPERLINK("https://fin.land.naver.com/articles/2652409046", "매물Link")</f>
        <v/>
      </c>
      <c r="M1974" s="6">
        <f>HYPERLINK("https://map.naver.com/p/search/연서면 월하리 960-4", "지도Link")</f>
        <v/>
      </c>
      <c r="N1974" s="6">
        <f>HYPERLINK("http://www.eum.go.kr/web/ar/lu/luLandDet.jsp?pnu=3611036021109600004&amp;isNoScr=script&amp;mode=search",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574</v>
      </c>
      <c r="R1974" s="3" t="inlineStr">
        <is>
          <t>지정되지않음</t>
        </is>
      </c>
      <c r="S1974" s="3" t="inlineStr">
        <is>
          <t>전기타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소로각지</t>
        </is>
      </c>
    </row>
    <row r="1975">
      <c r="A1975" s="3" t="inlineStr">
        <is>
          <t>연서면 월하리 966-14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29000</v>
      </c>
      <c r="G1975" s="4" t="n">
        <v>384</v>
      </c>
      <c r="H1975" s="4" t="n">
        <v>116</v>
      </c>
      <c r="I1975" s="5" t="n">
        <v>250</v>
      </c>
      <c r="J1975" s="5" t="n">
        <v>102.6</v>
      </c>
      <c r="K1975" s="3" t="inlineStr">
        <is>
          <t>주말농장 및 미래가치 높은 투자형, 토지거래 허가구역</t>
        </is>
      </c>
      <c r="L1975" s="6">
        <f>HYPERLINK("https://fin.land.naver.com/articles/2656275593", "매물Link")</f>
        <v/>
      </c>
      <c r="M1975" s="6">
        <f>HYPERLINK("https://map.naver.com/p/search/연서면 월하리 966-14", "지도Link")</f>
        <v/>
      </c>
      <c r="N1975" s="6">
        <f>HYPERLINK("http://www.eum.go.kr/web/ar/lu/luLandDet.jsp?pnu=3611036021109660014&amp;isNoScr=script&amp;mode=search", "토지이음")</f>
        <v/>
      </c>
      <c r="O1975" s="3" t="inlineStr">
        <is>
          <t>천우</t>
        </is>
      </c>
      <c r="P1975" s="4" t="n">
        <v>1</v>
      </c>
      <c r="Q1975" s="4" t="n">
        <v>384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사다리형</t>
        </is>
      </c>
      <c r="V1975" s="3" t="inlineStr">
        <is>
          <t>세로한면(가)</t>
        </is>
      </c>
    </row>
    <row r="1976">
      <c r="A1976" s="3" t="inlineStr">
        <is>
          <t>연서면 월하리 966-3</t>
        </is>
      </c>
      <c r="B1976" s="3" t="inlineStr">
        <is>
          <t>자연녹지지역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110000</v>
      </c>
      <c r="G1976" s="4" t="n">
        <v>981</v>
      </c>
      <c r="H1976" s="4" t="n">
        <v>297</v>
      </c>
      <c r="I1976" s="5" t="n">
        <v>370.4</v>
      </c>
      <c r="J1976" s="5" t="n">
        <v>168.6</v>
      </c>
      <c r="K1976" s="3" t="inlineStr">
        <is>
          <t>실거주, 미래가치 높은 투자형, 토지거래 허가구역</t>
        </is>
      </c>
      <c r="L1976" s="6">
        <f>HYPERLINK("https://fin.land.naver.com/articles/2656276732", "매물Link")</f>
        <v/>
      </c>
      <c r="M1976" s="6">
        <f>HYPERLINK("https://map.naver.com/p/search/연서면 월하리 966-3", "지도Link")</f>
        <v/>
      </c>
      <c r="N1976" s="6">
        <f>HYPERLINK("http://www.eum.go.kr/web/ar/lu/luLandDet.jsp?pnu=3611036021109660003&amp;isNoScr=script&amp;mode=search", "토지이음")</f>
        <v/>
      </c>
      <c r="O1976" s="3" t="inlineStr">
        <is>
          <t>천우</t>
        </is>
      </c>
      <c r="P1976" s="4" t="n">
        <v>1</v>
      </c>
      <c r="Q1976" s="4" t="n">
        <v>639</v>
      </c>
      <c r="R1976" s="3" t="inlineStr">
        <is>
          <t>지정되지않음</t>
        </is>
      </c>
      <c r="S1976" s="3" t="inlineStr">
        <is>
          <t>단독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소로한면</t>
        </is>
      </c>
    </row>
    <row r="1977">
      <c r="A1977" s="3" t="inlineStr">
        <is>
          <t>연서면 월하리 986-3</t>
        </is>
      </c>
      <c r="B1977" s="3" t="inlineStr">
        <is>
          <t>자연녹지지역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168000</v>
      </c>
      <c r="G1977" s="4" t="n">
        <v>1157</v>
      </c>
      <c r="H1977" s="4" t="n">
        <v>350</v>
      </c>
      <c r="I1977" s="5" t="n">
        <v>480</v>
      </c>
      <c r="J1977" s="5" t="n">
        <v>208.4</v>
      </c>
      <c r="K1977" s="3" t="inlineStr">
        <is>
          <t>조치원 서북부 개발지역 근접  농지로 투자용으로도 추천, 포장도로 접함</t>
        </is>
      </c>
      <c r="L1977" s="6">
        <f>HYPERLINK("https://fin.land.naver.com/articles/2653204795", "매물Link")</f>
        <v/>
      </c>
      <c r="M1977" s="6">
        <f>HYPERLINK("https://map.naver.com/p/search/연서면 월하리 986-3", "지도Link")</f>
        <v/>
      </c>
      <c r="N1977" s="6">
        <f>HYPERLINK("http://www.eum.go.kr/web/ar/lu/luLandDet.jsp?pnu=3611036021109860003&amp;isNoScr=script&amp;mode=search", "토지이음")</f>
        <v/>
      </c>
      <c r="O1977" s="3" t="inlineStr">
        <is>
          <t>the다올</t>
        </is>
      </c>
      <c r="P1977" s="4" t="n">
        <v>1</v>
      </c>
      <c r="Q1977" s="4" t="n">
        <v>1157</v>
      </c>
      <c r="R1977" s="3" t="inlineStr">
        <is>
          <t>지정되지않음</t>
        </is>
      </c>
      <c r="S1977" s="3" t="inlineStr">
        <is>
          <t>전</t>
        </is>
      </c>
      <c r="T1977" s="3" t="inlineStr">
        <is>
          <t>평지</t>
        </is>
      </c>
      <c r="U1977" s="3" t="inlineStr">
        <is>
          <t>사다리형</t>
        </is>
      </c>
      <c r="V1977" s="3" t="inlineStr">
        <is>
          <t>세로한면(가)</t>
        </is>
      </c>
    </row>
    <row r="1978">
      <c r="A1978" s="3" t="inlineStr">
        <is>
          <t>연서면 월하리 산144-1</t>
        </is>
      </c>
      <c r="B1978" s="3" t="inlineStr">
        <is>
          <t>자연녹지지역</t>
        </is>
      </c>
      <c r="C1978" s="3" t="inlineStr">
        <is>
          <t>임야</t>
        </is>
      </c>
      <c r="D1978" s="3" t="inlineStr">
        <is>
          <t>임야</t>
        </is>
      </c>
      <c r="E1978" s="3" t="inlineStr">
        <is>
          <t>매매</t>
        </is>
      </c>
      <c r="F1978" s="4" t="n">
        <v>860000</v>
      </c>
      <c r="G1978" s="4" t="n">
        <v>22983</v>
      </c>
      <c r="H1978" s="4" t="n">
        <v>6952</v>
      </c>
      <c r="I1978" s="5" t="n">
        <v>123.7</v>
      </c>
      <c r="J1978" s="5" t="n">
        <v>22.5</v>
      </c>
      <c r="K1978" s="3" t="inlineStr">
        <is>
          <t>미호강변 경관좋은 완경사 임야</t>
        </is>
      </c>
      <c r="L1978" s="6">
        <f>HYPERLINK("https://fin.land.naver.com/articles/2651822753", "매물Link")</f>
        <v/>
      </c>
      <c r="M1978" s="6">
        <f>HYPERLINK("https://map.naver.com/p/search/연서면 월하리 산144-1", "지도Link")</f>
        <v/>
      </c>
      <c r="N1978" s="6">
        <f>HYPERLINK("http://www.eum.go.kr/web/ar/lu/luLandDet.jsp?pnu=3611036021201440001&amp;isNoScr=script&amp;mode=search", "토지이음")</f>
        <v/>
      </c>
      <c r="O1978" s="3" t="inlineStr">
        <is>
          <t>번영</t>
        </is>
      </c>
      <c r="P1978" s="4" t="n">
        <v>1</v>
      </c>
      <c r="Q1978" s="4" t="n">
        <v>22641</v>
      </c>
      <c r="R1978" s="3" t="inlineStr">
        <is>
          <t>지정되지않음</t>
        </is>
      </c>
      <c r="S1978" s="3" t="inlineStr">
        <is>
          <t>자연림</t>
        </is>
      </c>
      <c r="T1978" s="3" t="inlineStr">
        <is>
          <t>완경사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산7-12</t>
        </is>
      </c>
      <c r="B1979" s="3" t="inlineStr">
        <is>
          <t>자연녹지지역</t>
        </is>
      </c>
      <c r="C1979" s="3" t="inlineStr">
        <is>
          <t>임야</t>
        </is>
      </c>
      <c r="D1979" s="3" t="inlineStr">
        <is>
          <t>임야</t>
        </is>
      </c>
      <c r="E1979" s="3" t="inlineStr">
        <is>
          <t>매매</t>
        </is>
      </c>
      <c r="F1979" s="4" t="n">
        <v>15800</v>
      </c>
      <c r="G1979" s="4" t="n">
        <v>660</v>
      </c>
      <c r="H1979" s="4" t="n">
        <v>200</v>
      </c>
      <c r="I1979" s="5" t="n">
        <v>79</v>
      </c>
      <c r="J1979" s="5" t="n">
        <v>21.7</v>
      </c>
      <c r="K1979" s="3" t="inlineStr">
        <is>
          <t>연서면 월하리 도시지역 자연녹지, 경사도 완만한 투 자용 임야입니다</t>
        </is>
      </c>
      <c r="L1979" s="6">
        <f>HYPERLINK("https://fin.land.naver.com/articles/2653251403", "매물Link")</f>
        <v/>
      </c>
      <c r="M1979" s="6">
        <f>HYPERLINK("https://map.naver.com/p/search/연서면 월하리 산7-12", "지도Link")</f>
        <v/>
      </c>
      <c r="N1979" s="6">
        <f>HYPERLINK("http://www.eum.go.kr/web/ar/lu/luLandDet.jsp?pnu=3611036021200070012&amp;isNoScr=script&amp;mode=search", "토지이음")</f>
        <v/>
      </c>
      <c r="O1979" s="3" t="inlineStr">
        <is>
          <t>스마일세종</t>
        </is>
      </c>
      <c r="P1979" s="4" t="n">
        <v>2</v>
      </c>
      <c r="Q1979" s="4" t="n">
        <v>660</v>
      </c>
      <c r="R1979" s="3" t="inlineStr">
        <is>
          <t>지정되지않음</t>
        </is>
      </c>
      <c r="S1979" s="3" t="inlineStr">
        <is>
          <t>자연림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맹지</t>
        </is>
      </c>
    </row>
    <row r="1980">
      <c r="A1980" s="3" t="inlineStr">
        <is>
          <t>연서면 청라리 12</t>
        </is>
      </c>
      <c r="B1980" s="3" t="inlineStr">
        <is>
          <t>생산관리지역</t>
        </is>
      </c>
      <c r="C1980" s="3" t="inlineStr">
        <is>
          <t>과수원</t>
        </is>
      </c>
      <c r="D1980" s="3" t="inlineStr">
        <is>
          <t>과수원</t>
        </is>
      </c>
      <c r="E1980" s="3" t="inlineStr">
        <is>
          <t>매매</t>
        </is>
      </c>
      <c r="F1980" s="4" t="n">
        <v>12500</v>
      </c>
      <c r="G1980" s="4" t="n">
        <v>1838</v>
      </c>
      <c r="H1980" s="4" t="n">
        <v>556</v>
      </c>
      <c r="I1980" s="5" t="n">
        <v>22.5</v>
      </c>
      <c r="J1980" s="5" t="n">
        <v>23.5</v>
      </c>
      <c r="K1980" s="3" t="inlineStr">
        <is>
          <t>급매 주변 시세보다 저렴한 태양광 시설등으로 적합한 생산관리지역의 과수원</t>
        </is>
      </c>
      <c r="L1980" s="6">
        <f>HYPERLINK("https://fin.land.naver.com/articles/2652681924", "매물Link")</f>
        <v/>
      </c>
      <c r="M1980" s="6">
        <f>HYPERLINK("https://map.naver.com/p/search/연서면 청라리 12", "지도Link")</f>
        <v/>
      </c>
      <c r="N1980" s="6">
        <f>HYPERLINK("http://www.eum.go.kr/web/ar/lu/luLandDet.jsp?pnu=3611036027100120000&amp;isNoScr=script&amp;mode=search", "토지이음")</f>
        <v/>
      </c>
      <c r="O1980" s="3" t="inlineStr">
        <is>
          <t>스마일세종</t>
        </is>
      </c>
      <c r="P1980" s="4" t="n">
        <v>2</v>
      </c>
      <c r="Q1980" s="4" t="n">
        <v>1838</v>
      </c>
      <c r="R1980" s="3" t="inlineStr">
        <is>
          <t>지정되지않음</t>
        </is>
      </c>
      <c r="S1980" s="3" t="inlineStr">
        <is>
          <t>전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청라리 127-1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53000</v>
      </c>
      <c r="G1981" s="4" t="n">
        <v>1249</v>
      </c>
      <c r="H1981" s="4" t="n">
        <v>378</v>
      </c>
      <c r="I1981" s="5" t="n">
        <v>140.2</v>
      </c>
      <c r="J1981" s="5" t="n">
        <v>30.6</v>
      </c>
      <c r="K1981" s="3" t="inlineStr">
        <is>
          <t>고복저수지5분거리 국산인근수혜지</t>
        </is>
      </c>
      <c r="L1981" s="6">
        <f>HYPERLINK("https://fin.land.naver.com/articles/2652904321", "매물Link")</f>
        <v/>
      </c>
      <c r="M1981" s="6">
        <f>HYPERLINK("https://map.naver.com/p/search/연서면 청라리 127-1", "지도Link")</f>
        <v/>
      </c>
      <c r="N1981" s="6">
        <f>HYPERLINK("http://www.eum.go.kr/web/ar/lu/luLandDet.jsp?pnu=3611036027101270001&amp;isNoScr=script&amp;mode=search", "토지이음")</f>
        <v/>
      </c>
      <c r="O1981" s="3" t="inlineStr">
        <is>
          <t>오송원</t>
        </is>
      </c>
      <c r="P1981" s="4" t="n">
        <v>1</v>
      </c>
      <c r="Q1981" s="4" t="n">
        <v>1249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청라리 127-1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53000</v>
      </c>
      <c r="G1982" s="4" t="n">
        <v>1249</v>
      </c>
      <c r="H1982" s="4" t="n">
        <v>378</v>
      </c>
      <c r="I1982" s="5" t="n">
        <v>140.2</v>
      </c>
      <c r="J1982" s="5" t="n">
        <v>30.6</v>
      </c>
      <c r="K1982" s="3" t="inlineStr">
        <is>
          <t>세종 연서면 고복저수지 인근 건축 및 투자 추천 추가 하천부지 있음</t>
        </is>
      </c>
      <c r="L1982" s="6">
        <f>HYPERLINK("https://fin.land.naver.com/articles/2654669162", "매물Link")</f>
        <v/>
      </c>
      <c r="M1982" s="6">
        <f>HYPERLINK("https://map.naver.com/p/search/연서면 청라리 127-1", "지도Link")</f>
        <v/>
      </c>
      <c r="N1982" s="6">
        <f>HYPERLINK("http://www.eum.go.kr/web/ar/lu/luLandDet.jsp?pnu=3611036027101270001&amp;isNoScr=script&amp;mode=search", "토지이음")</f>
        <v/>
      </c>
      <c r="O1982" s="3" t="inlineStr">
        <is>
          <t>나침반</t>
        </is>
      </c>
      <c r="P1982" s="4" t="n">
        <v>8</v>
      </c>
      <c r="Q1982" s="4" t="n">
        <v>1249</v>
      </c>
      <c r="R1982" s="3" t="inlineStr">
        <is>
          <t>지정되지않음</t>
        </is>
      </c>
      <c r="S1982" s="3" t="inlineStr">
        <is>
          <t>과수원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청라리 127-1</t>
        </is>
      </c>
      <c r="B1983" s="3" t="inlineStr">
        <is>
          <t>생산관리지역</t>
        </is>
      </c>
      <c r="C1983" s="3" t="inlineStr">
        <is>
          <t>과수원</t>
        </is>
      </c>
      <c r="D1983" s="3" t="inlineStr">
        <is>
          <t>과수원</t>
        </is>
      </c>
      <c r="E1983" s="3" t="inlineStr">
        <is>
          <t>매매</t>
        </is>
      </c>
      <c r="F1983" s="4" t="n">
        <v>53000</v>
      </c>
      <c r="G1983" s="4" t="n">
        <v>1249</v>
      </c>
      <c r="H1983" s="4" t="n">
        <v>378</v>
      </c>
      <c r="I1983" s="5" t="n">
        <v>140.2</v>
      </c>
      <c r="J1983" s="5" t="n">
        <v>30.6</v>
      </c>
      <c r="K1983" s="3" t="inlineStr">
        <is>
          <t>l청년l 세종시 투자가치 있는 토지 입니다.</t>
        </is>
      </c>
      <c r="L1983" s="6">
        <f>HYPERLINK("https://fin.land.naver.com/articles/2652676790", "매물Link")</f>
        <v/>
      </c>
      <c r="M1983" s="6">
        <f>HYPERLINK("https://map.naver.com/p/search/연서면 청라리 127-1", "지도Link")</f>
        <v/>
      </c>
      <c r="N1983" s="6">
        <f>HYPERLINK("http://www.eum.go.kr/web/ar/lu/luLandDet.jsp?pnu=3611036027101270001&amp;isNoScr=script&amp;mode=search", "토지이음")</f>
        <v/>
      </c>
      <c r="O1983" s="3" t="inlineStr">
        <is>
          <t>청년사사무소</t>
        </is>
      </c>
      <c r="P1983" s="4" t="n">
        <v>1</v>
      </c>
      <c r="Q1983" s="4" t="n">
        <v>1249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청라리 16</t>
        </is>
      </c>
      <c r="B1984" s="3" t="inlineStr">
        <is>
          <t>생산관리지역</t>
        </is>
      </c>
      <c r="C1984" s="3" t="inlineStr">
        <is>
          <t>답</t>
        </is>
      </c>
      <c r="D1984" s="3" t="inlineStr">
        <is>
          <t>답</t>
        </is>
      </c>
      <c r="E1984" s="3" t="inlineStr">
        <is>
          <t>매매</t>
        </is>
      </c>
      <c r="F1984" s="4" t="n">
        <v>42000</v>
      </c>
      <c r="G1984" s="4" t="n">
        <v>2023</v>
      </c>
      <c r="H1984" s="4" t="n">
        <v>612</v>
      </c>
      <c r="I1984" s="5" t="n">
        <v>68.59999999999999</v>
      </c>
      <c r="J1984" s="5" t="n">
        <v>23.5</v>
      </c>
      <c r="K1984" s="3" t="inlineStr">
        <is>
          <t>차량진입완경사, 고복저수지 6분국가산단 15분권</t>
        </is>
      </c>
      <c r="L1984" s="6">
        <f>HYPERLINK("https://fin.land.naver.com/articles/2656192236", "매물Link")</f>
        <v/>
      </c>
      <c r="M1984" s="6">
        <f>HYPERLINK("https://map.naver.com/p/search/연서면 청라리 16", "지도Link")</f>
        <v/>
      </c>
      <c r="N1984" s="6">
        <f>HYPERLINK("http://www.eum.go.kr/web/ar/lu/luLandDet.jsp?pnu=3611036027100160000&amp;isNoScr=script&amp;mode=search", "토지이음")</f>
        <v/>
      </c>
      <c r="O1984" s="3" t="inlineStr">
        <is>
          <t>세종소담황금</t>
        </is>
      </c>
      <c r="P1984" s="4" t="n">
        <v>1</v>
      </c>
      <c r="Q1984" s="4" t="n">
        <v>2023</v>
      </c>
      <c r="R1984" s="3" t="inlineStr">
        <is>
          <t>지정되지않음</t>
        </is>
      </c>
      <c r="S1984" s="3" t="inlineStr">
        <is>
          <t>과수원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청라리 163-8</t>
        </is>
      </c>
      <c r="B1985" s="3" t="inlineStr">
        <is>
          <t>생산관리지역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31000</v>
      </c>
      <c r="G1985" s="4" t="n">
        <v>778</v>
      </c>
      <c r="H1985" s="4" t="n">
        <v>235</v>
      </c>
      <c r="I1985" s="5" t="n">
        <v>131.9</v>
      </c>
      <c r="J1985" s="5" t="n">
        <v>27</v>
      </c>
      <c r="K1985" s="3" t="inlineStr">
        <is>
          <t>급매  남향  토목공사 완료  조망권 좋음</t>
        </is>
      </c>
      <c r="L1985" s="6">
        <f>HYPERLINK("https://fin.land.naver.com/articles/2654621303", "매물Link")</f>
        <v/>
      </c>
      <c r="M1985" s="6">
        <f>HYPERLINK("https://map.naver.com/p/search/연서면 청라리 163-8", "지도Link")</f>
        <v/>
      </c>
      <c r="N1985" s="6">
        <f>HYPERLINK("http://www.eum.go.kr/web/ar/lu/luLandDet.jsp?pnu=3611036027101630008&amp;isNoScr=script&amp;mode=search", "토지이음")</f>
        <v/>
      </c>
      <c r="O1985" s="3" t="inlineStr">
        <is>
          <t>보람진솔한</t>
        </is>
      </c>
      <c r="P1985" s="4" t="n">
        <v>1</v>
      </c>
      <c r="Q1985" s="4" t="n">
        <v>778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완경사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청라리 191-1</t>
        </is>
      </c>
      <c r="B1986" s="3" t="inlineStr">
        <is>
          <t>생산관리지역</t>
        </is>
      </c>
      <c r="C1986" s="3" t="inlineStr">
        <is>
          <t>답</t>
        </is>
      </c>
      <c r="D1986" s="3" t="inlineStr">
        <is>
          <t>답</t>
        </is>
      </c>
      <c r="E1986" s="3" t="inlineStr">
        <is>
          <t>매매</t>
        </is>
      </c>
      <c r="F1986" s="4" t="n">
        <v>75000</v>
      </c>
      <c r="G1986" s="4" t="n">
        <v>2096</v>
      </c>
      <c r="H1986" s="4" t="n">
        <v>634</v>
      </c>
      <c r="I1986" s="5" t="n">
        <v>118.3</v>
      </c>
      <c r="J1986" s="5" t="n">
        <v>32.1</v>
      </c>
      <c r="K1986" s="3" t="inlineStr">
        <is>
          <t>생산관리, 도로접함, 대토용, 투자용</t>
        </is>
      </c>
      <c r="L1986" s="6">
        <f>HYPERLINK("https://fin.land.naver.com/articles/2656436073", "매물Link")</f>
        <v/>
      </c>
      <c r="M1986" s="6">
        <f>HYPERLINK("https://map.naver.com/p/search/연서면 청라리 191-1", "지도Link")</f>
        <v/>
      </c>
      <c r="N1986" s="6">
        <f>HYPERLINK("http://www.eum.go.kr/web/ar/lu/luLandDet.jsp?pnu=3611036027101910001&amp;isNoScr=script&amp;mode=search", "토지이음")</f>
        <v/>
      </c>
      <c r="O1986" s="3" t="inlineStr">
        <is>
          <t>세종일조</t>
        </is>
      </c>
      <c r="P1986" s="4" t="n">
        <v>1</v>
      </c>
      <c r="Q1986" s="4" t="n">
        <v>2096</v>
      </c>
      <c r="R1986" s="3" t="inlineStr">
        <is>
          <t>지정되지않음</t>
        </is>
      </c>
      <c r="S1986" s="3" t="inlineStr">
        <is>
          <t>답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청라리 211-1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96000</v>
      </c>
      <c r="G1987" s="4" t="n">
        <v>3514</v>
      </c>
      <c r="H1987" s="4" t="n">
        <v>1063</v>
      </c>
      <c r="I1987" s="5" t="n">
        <v>90.3</v>
      </c>
      <c r="J1987" s="5" t="n">
        <v>24.3</v>
      </c>
      <c r="K1987" s="3" t="inlineStr">
        <is>
          <t>nan</t>
        </is>
      </c>
      <c r="L1987" s="6">
        <f>HYPERLINK("https://fin.land.naver.com/articles/2653307407", "매물Link")</f>
        <v/>
      </c>
      <c r="M1987" s="6">
        <f>HYPERLINK("https://map.naver.com/p/search/연서면 청라리 211-1", "지도Link")</f>
        <v/>
      </c>
      <c r="N1987" s="6">
        <f>HYPERLINK("http://www.eum.go.kr/web/ar/lu/luLandDet.jsp?pnu=3611036027102110001&amp;isNoScr=script&amp;mode=search", "토지이음")</f>
        <v/>
      </c>
      <c r="O1987" s="3" t="inlineStr">
        <is>
          <t>디아트성심</t>
        </is>
      </c>
      <c r="P1987" s="4" t="n">
        <v>1</v>
      </c>
      <c r="Q1987" s="4" t="n">
        <v>3514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세로각지(가)</t>
        </is>
      </c>
    </row>
    <row r="1988">
      <c r="A1988" s="3" t="inlineStr">
        <is>
          <t>연서면 청라리 244-1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20000</v>
      </c>
      <c r="G1988" s="4" t="n">
        <v>833</v>
      </c>
      <c r="H1988" s="4" t="n">
        <v>252</v>
      </c>
      <c r="I1988" s="5" t="n">
        <v>79.40000000000001</v>
      </c>
      <c r="J1988" s="5" t="n">
        <v>20.8</v>
      </c>
      <c r="K1988" s="3" t="inlineStr">
        <is>
          <t>nan</t>
        </is>
      </c>
      <c r="L1988" s="6">
        <f>HYPERLINK("https://fin.land.naver.com/articles/2651654470", "매물Link")</f>
        <v/>
      </c>
      <c r="M1988" s="6">
        <f>HYPERLINK("https://map.naver.com/p/search/연서면 청라리 244-1", "지도Link")</f>
        <v/>
      </c>
      <c r="N1988" s="6">
        <f>HYPERLINK("http://www.eum.go.kr/web/ar/lu/luLandDet.jsp?pnu=3611036027102440001&amp;isNoScr=script&amp;mode=search", "토지이음")</f>
        <v/>
      </c>
      <c r="O1988" s="3" t="inlineStr">
        <is>
          <t>고운하임</t>
        </is>
      </c>
      <c r="P1988" s="4" t="n">
        <v>1</v>
      </c>
      <c r="Q1988" s="4" t="n">
        <v>833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세로한면(불)</t>
        </is>
      </c>
    </row>
    <row r="1989">
      <c r="A1989" s="3" t="inlineStr">
        <is>
          <t>연서면 청라리 261</t>
        </is>
      </c>
      <c r="B1989" s="3" t="inlineStr">
        <is>
          <t>생산관리지역</t>
        </is>
      </c>
      <c r="C1989" s="3" t="inlineStr">
        <is>
          <t>전</t>
        </is>
      </c>
      <c r="D1989" s="3" t="inlineStr">
        <is>
          <t>전</t>
        </is>
      </c>
      <c r="E1989" s="3" t="inlineStr">
        <is>
          <t>매매</t>
        </is>
      </c>
      <c r="F1989" s="4" t="n">
        <v>330000</v>
      </c>
      <c r="G1989" s="4" t="n">
        <v>11198</v>
      </c>
      <c r="H1989" s="4" t="n">
        <v>3387</v>
      </c>
      <c r="I1989" s="5" t="n">
        <v>97.40000000000001</v>
      </c>
      <c r="J1989" s="5" t="n">
        <v>22.9</v>
      </c>
      <c r="K1989" s="3" t="inlineStr">
        <is>
          <t>산업단지개발구역 인근 투자가치 높은 곳입니다.</t>
        </is>
      </c>
      <c r="L1989" s="6">
        <f>HYPERLINK("https://fin.land.naver.com/articles/2656008378", "매물Link")</f>
        <v/>
      </c>
      <c r="M1989" s="6">
        <f>HYPERLINK("https://map.naver.com/p/search/연서면 청라리 261", "지도Link")</f>
        <v/>
      </c>
      <c r="N1989" s="6">
        <f>HYPERLINK("http://www.eum.go.kr/web/ar/lu/luLandDet.jsp?pnu=3611036027102610000&amp;isNoScr=script&amp;mode=search", "토지이음")</f>
        <v/>
      </c>
      <c r="O1989" s="3" t="inlineStr">
        <is>
          <t>노은탑</t>
        </is>
      </c>
      <c r="P1989" s="4" t="n">
        <v>1</v>
      </c>
      <c r="Q1989" s="4" t="n">
        <v>4502</v>
      </c>
      <c r="R1989" s="3" t="inlineStr">
        <is>
          <t>지정되지않음</t>
        </is>
      </c>
      <c r="S1989" s="3" t="inlineStr">
        <is>
          <t>전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263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38500</v>
      </c>
      <c r="G1990" s="4" t="n">
        <v>2314</v>
      </c>
      <c r="H1990" s="4" t="n">
        <v>700</v>
      </c>
      <c r="I1990" s="5" t="n">
        <v>55</v>
      </c>
      <c r="J1990" s="5" t="n">
        <v>20.8</v>
      </c>
      <c r="K1990" s="3" t="inlineStr">
        <is>
          <t>연서면 청라리 농지매매</t>
        </is>
      </c>
      <c r="L1990" s="6">
        <f>HYPERLINK("https://fin.land.naver.com/articles/2650941248", "매물Link")</f>
        <v/>
      </c>
      <c r="M1990" s="6">
        <f>HYPERLINK("https://map.naver.com/p/search/연서면 청라리 263", "지도Link")</f>
        <v/>
      </c>
      <c r="N1990" s="6">
        <f>HYPERLINK("http://www.eum.go.kr/web/ar/lu/luLandDet.jsp?pnu=3611036027102630000&amp;isNoScr=script&amp;mode=search", "토지이음")</f>
        <v/>
      </c>
      <c r="O1990" s="3" t="inlineStr">
        <is>
          <t>OK세종 사무소</t>
        </is>
      </c>
      <c r="P1990" s="4" t="n">
        <v>1</v>
      </c>
      <c r="Q1990" s="4" t="n">
        <v>2314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세로한면(불)</t>
        </is>
      </c>
    </row>
    <row r="1991">
      <c r="A1991" s="3" t="inlineStr">
        <is>
          <t>연서면 청라리 277</t>
        </is>
      </c>
      <c r="B1991" s="3" t="inlineStr">
        <is>
          <t>생산관리지역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63000</v>
      </c>
      <c r="G1991" s="4" t="n">
        <v>3472</v>
      </c>
      <c r="H1991" s="4" t="n">
        <v>1050</v>
      </c>
      <c r="I1991" s="5" t="n">
        <v>60</v>
      </c>
      <c r="J1991" s="5" t="n">
        <v>22</v>
      </c>
      <c r="K1991" s="3" t="inlineStr">
        <is>
          <t>현황도로 길게 접한 생산관리 토지. 대토, 전원주택 추천</t>
        </is>
      </c>
      <c r="L1991" s="6">
        <f>HYPERLINK("https://fin.land.naver.com/articles/2652115768", "매물Link")</f>
        <v/>
      </c>
      <c r="M1991" s="6">
        <f>HYPERLINK("https://map.naver.com/p/search/연서면 청라리 277", "지도Link")</f>
        <v/>
      </c>
      <c r="N1991" s="6">
        <f>HYPERLINK("http://www.eum.go.kr/web/ar/lu/luLandDet.jsp?pnu=3611036027102770000&amp;isNoScr=script&amp;mode=search", "토지이음")</f>
        <v/>
      </c>
      <c r="O1991" s="3" t="inlineStr">
        <is>
          <t>미스터홈즈강남지사</t>
        </is>
      </c>
      <c r="P1991" s="4" t="n">
        <v>1</v>
      </c>
      <c r="Q1991" s="4" t="n">
        <v>3472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295-2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71800</v>
      </c>
      <c r="G1992" s="4" t="n">
        <v>2372</v>
      </c>
      <c r="H1992" s="4" t="n">
        <v>718</v>
      </c>
      <c r="I1992" s="5" t="n">
        <v>100</v>
      </c>
      <c r="J1992" s="5" t="n">
        <v>23.5</v>
      </c>
      <c r="K1992" s="3" t="inlineStr">
        <is>
          <t>고복저수지인근 2차선변 답</t>
        </is>
      </c>
      <c r="L1992" s="6">
        <f>HYPERLINK("https://fin.land.naver.com/articles/2652044870", "매물Link")</f>
        <v/>
      </c>
      <c r="M1992" s="6">
        <f>HYPERLINK("https://map.naver.com/p/search/연서면 청라리 295-2", "지도Link")</f>
        <v/>
      </c>
      <c r="N1992" s="6">
        <f>HYPERLINK("http://www.eum.go.kr/web/ar/lu/luLandDet.jsp?pnu=3611036027102950002&amp;isNoScr=script&amp;mode=search", "토지이음")</f>
        <v/>
      </c>
      <c r="O1992" s="3" t="inlineStr">
        <is>
          <t>미스터홈즈강남지사</t>
        </is>
      </c>
      <c r="P1992" s="4" t="n">
        <v>1</v>
      </c>
      <c r="Q1992" s="4" t="n">
        <v>2372.4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34-1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82300</v>
      </c>
      <c r="G1993" s="4" t="n">
        <v>3891</v>
      </c>
      <c r="H1993" s="4" t="n">
        <v>1177</v>
      </c>
      <c r="I1993" s="5" t="n">
        <v>69.90000000000001</v>
      </c>
      <c r="J1993" s="5" t="n">
        <v>24.2</v>
      </c>
      <c r="K1993" s="3" t="inlineStr">
        <is>
          <t>대토용 토지</t>
        </is>
      </c>
      <c r="L1993" s="6">
        <f>HYPERLINK("https://fin.land.naver.com/articles/2651766800", "매물Link")</f>
        <v/>
      </c>
      <c r="M1993" s="6">
        <f>HYPERLINK("https://map.naver.com/p/search/연서면 청라리 34-1", "지도Link")</f>
        <v/>
      </c>
      <c r="N1993" s="6">
        <f>HYPERLINK("http://www.eum.go.kr/web/ar/lu/luLandDet.jsp?pnu=3611036027100340001&amp;isNoScr=script&amp;mode=search", "토지이음")</f>
        <v/>
      </c>
      <c r="O1993" s="3" t="inlineStr">
        <is>
          <t>토지개발</t>
        </is>
      </c>
      <c r="P1993" s="4" t="n">
        <v>1</v>
      </c>
      <c r="Q1993" s="4" t="n">
        <v>3825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38-2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18180</v>
      </c>
      <c r="G1994" s="4" t="n">
        <v>1001</v>
      </c>
      <c r="H1994" s="4" t="n">
        <v>303</v>
      </c>
      <c r="I1994" s="5" t="n">
        <v>60</v>
      </c>
      <c r="J1994" s="5" t="n">
        <v>24.2</v>
      </c>
      <c r="K1994" s="3" t="inlineStr">
        <is>
          <t>배나무 심어져 있고 농지원부 나오는땅</t>
        </is>
      </c>
      <c r="L1994" s="6">
        <f>HYPERLINK("https://fin.land.naver.com/articles/2651959061", "매물Link")</f>
        <v/>
      </c>
      <c r="M1994" s="6">
        <f>HYPERLINK("https://map.naver.com/p/search/연서면 청라리 38-2", "지도Link")</f>
        <v/>
      </c>
      <c r="N1994" s="6">
        <f>HYPERLINK("http://www.eum.go.kr/web/ar/lu/luLandDet.jsp?pnu=3611036027100380002&amp;isNoScr=script&amp;mode=search", "토지이음")</f>
        <v/>
      </c>
      <c r="O1994" s="3" t="inlineStr">
        <is>
          <t>용궁</t>
        </is>
      </c>
      <c r="P1994" s="4" t="n">
        <v>1</v>
      </c>
      <c r="Q1994" s="4" t="n">
        <v>1000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청라리 420-1</t>
        </is>
      </c>
      <c r="B1995" s="3" t="inlineStr">
        <is>
          <t>계획관리지역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37000</v>
      </c>
      <c r="G1995" s="4" t="n">
        <v>657</v>
      </c>
      <c r="H1995" s="4" t="n">
        <v>199</v>
      </c>
      <c r="I1995" s="5" t="n">
        <v>185.9</v>
      </c>
      <c r="J1995" s="5" t="n">
        <v>56.6</v>
      </c>
      <c r="K1995" s="3" t="inlineStr">
        <is>
          <t>계획관리지역.성장관리계획구역.단독주택있슴</t>
        </is>
      </c>
      <c r="L1995" s="6">
        <f>HYPERLINK("https://fin.land.naver.com/articles/2653846170", "매물Link")</f>
        <v/>
      </c>
      <c r="M1995" s="6">
        <f>HYPERLINK("https://map.naver.com/p/search/연서면 청라리 420-1", "지도Link")</f>
        <v/>
      </c>
      <c r="N1995" s="6">
        <f>HYPERLINK("http://www.eum.go.kr/web/ar/lu/luLandDet.jsp?pnu=3611036027104200001&amp;isNoScr=script&amp;mode=search", "토지이음")</f>
        <v/>
      </c>
      <c r="O1995" s="3" t="inlineStr">
        <is>
          <t>돈방석</t>
        </is>
      </c>
      <c r="P1995" s="4" t="n">
        <v>1</v>
      </c>
      <c r="Q1995" s="4" t="n">
        <v>657.4</v>
      </c>
      <c r="R1995" s="3" t="inlineStr">
        <is>
          <t>지정되지않음</t>
        </is>
      </c>
      <c r="S1995" s="3" t="inlineStr">
        <is>
          <t>단독</t>
        </is>
      </c>
      <c r="T1995" s="3" t="inlineStr">
        <is>
          <t>완경사</t>
        </is>
      </c>
      <c r="U1995" s="3" t="inlineStr">
        <is>
          <t>사다리형</t>
        </is>
      </c>
      <c r="V1995" s="3" t="inlineStr">
        <is>
          <t>세로한면(가)</t>
        </is>
      </c>
    </row>
    <row r="1996">
      <c r="A1996" s="3" t="inlineStr">
        <is>
          <t>연서면 청라리 448</t>
        </is>
      </c>
      <c r="B1996" s="3" t="inlineStr">
        <is>
          <t>계획관리지역</t>
        </is>
      </c>
      <c r="C1996" s="3" t="inlineStr">
        <is>
          <t>창고용지</t>
        </is>
      </c>
      <c r="D1996" s="3" t="inlineStr">
        <is>
          <t>대</t>
        </is>
      </c>
      <c r="E1996" s="3" t="inlineStr">
        <is>
          <t>매매</t>
        </is>
      </c>
      <c r="F1996" s="4" t="n">
        <v>425400</v>
      </c>
      <c r="G1996" s="4" t="n">
        <v>7031</v>
      </c>
      <c r="H1996" s="4" t="n">
        <v>2127</v>
      </c>
      <c r="I1996" s="5" t="n">
        <v>200</v>
      </c>
      <c r="J1996" s="5" t="n">
        <v>36.8</v>
      </c>
      <c r="K1996" s="3" t="inlineStr">
        <is>
          <t>2차선도로 접한 토지</t>
        </is>
      </c>
      <c r="L1996" s="6">
        <f>HYPERLINK("https://fin.land.naver.com/articles/2655183878", "매물Link")</f>
        <v/>
      </c>
      <c r="M1996" s="6">
        <f>HYPERLINK("https://map.naver.com/p/search/연서면 청라리 448", "지도Link")</f>
        <v/>
      </c>
      <c r="N1996" s="6">
        <f>HYPERLINK("http://www.eum.go.kr/web/ar/lu/luLandDet.jsp?pnu=3611036027104480000&amp;isNoScr=script&amp;mode=search", "토지이음")</f>
        <v/>
      </c>
      <c r="O1996" s="3" t="inlineStr">
        <is>
          <t>더KEY</t>
        </is>
      </c>
      <c r="P1996" s="4" t="n">
        <v>1</v>
      </c>
      <c r="Q1996" s="4" t="n">
        <v>1158</v>
      </c>
      <c r="R1996" s="3" t="inlineStr">
        <is>
          <t>지정되지않음</t>
        </is>
      </c>
      <c r="S1996" s="3" t="inlineStr">
        <is>
          <t>답기타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490</t>
        </is>
      </c>
      <c r="B1997" s="3" t="inlineStr">
        <is>
          <t>보전관리지역</t>
        </is>
      </c>
      <c r="C1997" s="3" t="inlineStr">
        <is>
          <t>답</t>
        </is>
      </c>
      <c r="D1997" s="3" t="inlineStr">
        <is>
          <t>전</t>
        </is>
      </c>
      <c r="E1997" s="3" t="inlineStr">
        <is>
          <t>매매</t>
        </is>
      </c>
      <c r="F1997" s="4" t="n">
        <v>12700</v>
      </c>
      <c r="G1997" s="4" t="n">
        <v>1402</v>
      </c>
      <c r="H1997" s="4" t="n">
        <v>424</v>
      </c>
      <c r="I1997" s="5" t="n">
        <v>30</v>
      </c>
      <c r="J1997" s="5" t="n">
        <v>10.8</v>
      </c>
      <c r="K1997" s="3" t="inlineStr">
        <is>
          <t>절충가능하고 대토용으로 추천드림니다</t>
        </is>
      </c>
      <c r="L1997" s="6">
        <f>HYPERLINK("https://fin.land.naver.com/articles/2654814455", "매물Link")</f>
        <v/>
      </c>
      <c r="M1997" s="6">
        <f>HYPERLINK("https://map.naver.com/p/search/연서면 청라리 490", "지도Link")</f>
        <v/>
      </c>
      <c r="N1997" s="6">
        <f>HYPERLINK("http://www.eum.go.kr/web/ar/lu/luLandDet.jsp?pnu=3611036027104900000&amp;isNoScr=script&amp;mode=search", "토지이음")</f>
        <v/>
      </c>
      <c r="O1997" s="3" t="inlineStr">
        <is>
          <t>스마일세종</t>
        </is>
      </c>
      <c r="P1997" s="4" t="n">
        <v>1</v>
      </c>
      <c r="Q1997" s="4" t="n">
        <v>724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급경사</t>
        </is>
      </c>
      <c r="U1997" s="3" t="inlineStr">
        <is>
          <t>부정형</t>
        </is>
      </c>
      <c r="V1997" s="3" t="inlineStr">
        <is>
          <t>맹지</t>
        </is>
      </c>
    </row>
    <row r="1998">
      <c r="A1998" s="3" t="inlineStr">
        <is>
          <t>연서면 청라리 490</t>
        </is>
      </c>
      <c r="B1998" s="3" t="inlineStr">
        <is>
          <t>보전관리지역</t>
        </is>
      </c>
      <c r="C1998" s="3" t="inlineStr">
        <is>
          <t>답</t>
        </is>
      </c>
      <c r="D1998" s="3" t="inlineStr">
        <is>
          <t>답</t>
        </is>
      </c>
      <c r="E1998" s="3" t="inlineStr">
        <is>
          <t>매매</t>
        </is>
      </c>
      <c r="F1998" s="4" t="n">
        <v>6750</v>
      </c>
      <c r="G1998" s="4" t="n">
        <v>1402</v>
      </c>
      <c r="H1998" s="4" t="n">
        <v>424</v>
      </c>
      <c r="I1998" s="5" t="n">
        <v>15.9</v>
      </c>
      <c r="J1998" s="5" t="n">
        <v>10.8</v>
      </c>
      <c r="K1998" s="3" t="inlineStr">
        <is>
          <t>구거 접해 있지만 맹지입니다.</t>
        </is>
      </c>
      <c r="L1998" s="6">
        <f>HYPERLINK("https://fin.land.naver.com/articles/2652005290", "매물Link")</f>
        <v/>
      </c>
      <c r="M1998" s="6">
        <f>HYPERLINK("https://map.naver.com/p/search/연서면 청라리 490", "지도Link")</f>
        <v/>
      </c>
      <c r="N1998" s="6">
        <f>HYPERLINK("http://www.eum.go.kr/web/ar/lu/luLandDet.jsp?pnu=3611036027104900000&amp;isNoScr=script&amp;mode=search", "토지이음")</f>
        <v/>
      </c>
      <c r="O1998" s="3" t="inlineStr">
        <is>
          <t>세종땅사랑</t>
        </is>
      </c>
      <c r="P1998" s="4" t="n">
        <v>1</v>
      </c>
      <c r="Q1998" s="4" t="n">
        <v>724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급경사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청라리 490</t>
        </is>
      </c>
      <c r="B1999" s="3" t="inlineStr">
        <is>
          <t>보전관리지역</t>
        </is>
      </c>
      <c r="C1999" s="3" t="inlineStr">
        <is>
          <t>답</t>
        </is>
      </c>
      <c r="D1999" s="3" t="inlineStr">
        <is>
          <t>전</t>
        </is>
      </c>
      <c r="E1999" s="3" t="inlineStr">
        <is>
          <t>매매</t>
        </is>
      </c>
      <c r="F1999" s="4" t="n">
        <v>7000</v>
      </c>
      <c r="G1999" s="4" t="n">
        <v>1401</v>
      </c>
      <c r="H1999" s="4" t="n">
        <v>424</v>
      </c>
      <c r="I1999" s="5" t="n">
        <v>16.5</v>
      </c>
      <c r="J1999" s="5" t="n">
        <v>10.8</v>
      </c>
      <c r="K1999" s="3" t="inlineStr">
        <is>
          <t>급매.과수원추천.보전관리.성장관리계획구역.영농여건불리농지. 대토추천.</t>
        </is>
      </c>
      <c r="L1999" s="6">
        <f>HYPERLINK("https://fin.land.naver.com/articles/2651449309", "매물Link")</f>
        <v/>
      </c>
      <c r="M1999" s="6">
        <f>HYPERLINK("https://map.naver.com/p/search/연서면 청라리 490", "지도Link")</f>
        <v/>
      </c>
      <c r="N1999" s="6">
        <f>HYPERLINK("http://www.eum.go.kr/web/ar/lu/luLandDet.jsp?pnu=3611036027104900000&amp;isNoScr=script&amp;mode=search", "토지이음")</f>
        <v/>
      </c>
      <c r="O1999" s="3" t="inlineStr">
        <is>
          <t>휴튼9단지세교신도시</t>
        </is>
      </c>
      <c r="P1999" s="4" t="n">
        <v>1</v>
      </c>
      <c r="Q1999" s="4" t="n">
        <v>724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급경사</t>
        </is>
      </c>
      <c r="U1999" s="3" t="inlineStr">
        <is>
          <t>부정형</t>
        </is>
      </c>
      <c r="V1999" s="3" t="inlineStr">
        <is>
          <t>맹지</t>
        </is>
      </c>
    </row>
    <row r="2000">
      <c r="A2000" s="3" t="inlineStr">
        <is>
          <t>연서면 청라리 70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55200</v>
      </c>
      <c r="G2000" s="4" t="n">
        <v>1587</v>
      </c>
      <c r="H2000" s="4" t="n">
        <v>480</v>
      </c>
      <c r="I2000" s="5" t="n">
        <v>115</v>
      </c>
      <c r="J2000" s="5" t="n">
        <v>31.6</v>
      </c>
      <c r="K2000" s="3" t="inlineStr">
        <is>
          <t>국가산업단지 인근 전원주택부지 추천 계획관리 전</t>
        </is>
      </c>
      <c r="L2000" s="6">
        <f>HYPERLINK("https://fin.land.naver.com/articles/2655857401", "매물Link")</f>
        <v/>
      </c>
      <c r="M2000" s="6">
        <f>HYPERLINK("https://map.naver.com/p/search/연서면 청라리 70", "지도Link")</f>
        <v/>
      </c>
      <c r="N2000" s="6">
        <f>HYPERLINK("http://www.eum.go.kr/web/ar/lu/luLandDet.jsp?pnu=3611036027100700000&amp;isNoScr=script&amp;mode=search", "토지이음")</f>
        <v/>
      </c>
      <c r="O2000" s="3" t="inlineStr">
        <is>
          <t>노은탑</t>
        </is>
      </c>
      <c r="P2000" s="4" t="n">
        <v>1</v>
      </c>
      <c r="Q2000" s="4" t="n">
        <v>1587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오송읍 공북리 184-2</t>
        </is>
      </c>
      <c r="B2001" s="3" t="inlineStr">
        <is>
          <t>농림지역</t>
        </is>
      </c>
      <c r="C2001" s="3" t="inlineStr">
        <is>
          <t>잡종지</t>
        </is>
      </c>
      <c r="D2001" s="3" t="inlineStr">
        <is>
          <t>잡종지</t>
        </is>
      </c>
      <c r="E2001" s="3" t="inlineStr">
        <is>
          <t>매매</t>
        </is>
      </c>
      <c r="F2001" s="4" t="n">
        <v>130000</v>
      </c>
      <c r="G2001" s="4" t="n">
        <v>2146</v>
      </c>
      <c r="H2001" s="4" t="n">
        <v>649</v>
      </c>
      <c r="I2001" s="5" t="n">
        <v>200.3</v>
      </c>
      <c r="J2001" s="5" t="n">
        <v>53.7</v>
      </c>
      <c r="K2001" s="3" t="inlineStr">
        <is>
          <t>2차선 도로 접, 서울 세종간 고속도로 오송진입로 1.3km, 투자 적지</t>
        </is>
      </c>
      <c r="L2001" s="6">
        <f>HYPERLINK("https://fin.land.naver.com/articles/2651729575", "매물Link")</f>
        <v/>
      </c>
      <c r="M2001" s="6">
        <f>HYPERLINK("https://map.naver.com/p/search/오송읍 공북리 184-2", "지도Link")</f>
        <v/>
      </c>
      <c r="N2001" s="6">
        <f>HYPERLINK("http://www.eum.go.kr/web/ar/lu/luLandDet.jsp?pnu=4311325023101840002&amp;isNoScr=script&amp;mode=search", "토지이음")</f>
        <v/>
      </c>
      <c r="O2001" s="3" t="inlineStr">
        <is>
          <t>OK파라곤</t>
        </is>
      </c>
      <c r="P2001" s="4" t="n">
        <v>1</v>
      </c>
      <c r="Q2001" s="4" t="n">
        <v>1400</v>
      </c>
      <c r="R2001" s="3" t="inlineStr">
        <is>
          <t>지정되지않음</t>
        </is>
      </c>
      <c r="S2001" s="3" t="inlineStr">
        <is>
          <t>단독</t>
        </is>
      </c>
      <c r="T2001" s="3" t="inlineStr">
        <is>
          <t>평지</t>
        </is>
      </c>
      <c r="U2001" s="3" t="inlineStr">
        <is>
          <t>사다리형</t>
        </is>
      </c>
      <c r="V2001" s="3" t="inlineStr">
        <is>
          <t>소로한면</t>
        </is>
      </c>
    </row>
    <row r="2002">
      <c r="A2002" s="3" t="inlineStr">
        <is>
          <t>오송읍 공북리 568-28</t>
        </is>
      </c>
      <c r="B2002" s="3" t="inlineStr">
        <is>
          <t>계획관리지역</t>
        </is>
      </c>
      <c r="C2002" s="3" t="inlineStr">
        <is>
          <t>잡종지</t>
        </is>
      </c>
      <c r="D2002" s="3" t="inlineStr">
        <is>
          <t>대</t>
        </is>
      </c>
      <c r="E2002" s="3" t="inlineStr">
        <is>
          <t>매매</t>
        </is>
      </c>
      <c r="F2002" s="4" t="n">
        <v>220000</v>
      </c>
      <c r="G2002" s="4" t="n">
        <v>2707</v>
      </c>
      <c r="H2002" s="4" t="n">
        <v>819</v>
      </c>
      <c r="I2002" s="5" t="n">
        <v>268.6</v>
      </c>
      <c r="J2002" s="5" t="n">
        <v>72.2</v>
      </c>
      <c r="K2002" s="3" t="inlineStr">
        <is>
          <t>오송생명과학단지 바로옆,옥산IC인근,전체 계획관리지역,공장 창고 추천</t>
        </is>
      </c>
      <c r="L2002" s="6">
        <f>HYPERLINK("https://fin.land.naver.com/articles/2652356906", "매물Link")</f>
        <v/>
      </c>
      <c r="M2002" s="6">
        <f>HYPERLINK("https://map.naver.com/p/search/오송읍 공북리 568-28", "지도Link")</f>
        <v/>
      </c>
      <c r="N2002" s="6">
        <f>HYPERLINK("http://www.eum.go.kr/web/ar/lu/luLandDet.jsp?pnu=4311325023105680028&amp;isNoScr=script&amp;mode=search", "토지이음")</f>
        <v/>
      </c>
      <c r="O2002" s="3" t="inlineStr">
        <is>
          <t>(주)미르</t>
        </is>
      </c>
      <c r="P2002" s="4" t="n">
        <v>1</v>
      </c>
      <c r="Q2002" s="4" t="n">
        <v>79</v>
      </c>
      <c r="R2002" s="3" t="inlineStr">
        <is>
          <t>지정되지않음</t>
        </is>
      </c>
      <c r="S2002" s="3" t="inlineStr">
        <is>
          <t>주거기타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오송읍 공북리 568-30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220000</v>
      </c>
      <c r="G2003" s="4" t="n">
        <v>2707</v>
      </c>
      <c r="H2003" s="4" t="n">
        <v>819</v>
      </c>
      <c r="I2003" s="5" t="n">
        <v>268.6</v>
      </c>
      <c r="J2003" s="5" t="n">
        <v>72.2</v>
      </c>
      <c r="K2003" s="3" t="inlineStr">
        <is>
          <t>오송생명과학단지 , 오송 화장품산업단지 인근 공장 창고 추천</t>
        </is>
      </c>
      <c r="L2003" s="6">
        <f>HYPERLINK("https://fin.land.naver.com/articles/2652969686", "매물Link")</f>
        <v/>
      </c>
      <c r="M2003" s="6">
        <f>HYPERLINK("https://map.naver.com/p/search/오송읍 공북리 568-30", "지도Link")</f>
        <v/>
      </c>
      <c r="N2003" s="6">
        <f>HYPERLINK("http://www.eum.go.kr/web/ar/lu/luLandDet.jsp?pnu=4311325023105680030&amp;isNoScr=script&amp;mode=search", "토지이음")</f>
        <v/>
      </c>
      <c r="O2003" s="3" t="inlineStr">
        <is>
          <t>더원</t>
        </is>
      </c>
      <c r="P2003" s="4" t="n">
        <v>1</v>
      </c>
      <c r="Q2003" s="4" t="n">
        <v>144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가로장방</t>
        </is>
      </c>
      <c r="V2003" s="3" t="inlineStr">
        <is>
          <t>세로한면(가)</t>
        </is>
      </c>
    </row>
    <row r="2004">
      <c r="A2004" s="3" t="inlineStr">
        <is>
          <t>오송읍 공북리 639-1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20600</v>
      </c>
      <c r="G2004" s="4" t="n">
        <v>975</v>
      </c>
      <c r="H2004" s="4" t="n">
        <v>295</v>
      </c>
      <c r="I2004" s="5" t="n">
        <v>69.8</v>
      </c>
      <c r="J2004" s="5" t="n">
        <v>21.6</v>
      </c>
      <c r="K2004" s="3" t="inlineStr">
        <is>
          <t>오송역 오송철도클러스터단지인근토지 수도 전기 화장실 컨테이너 설치</t>
        </is>
      </c>
      <c r="L2004" s="6">
        <f>HYPERLINK("https://fin.land.naver.com/articles/2653991086", "매물Link")</f>
        <v/>
      </c>
      <c r="M2004" s="6">
        <f>HYPERLINK("https://map.naver.com/p/search/오송읍 공북리 639-1", "지도Link")</f>
        <v/>
      </c>
      <c r="N2004" s="6">
        <f>HYPERLINK("http://www.eum.go.kr/web/ar/lu/luLandDet.jsp?pnu=4311325023106390001&amp;isNoScr=script&amp;mode=search", "토지이음")</f>
        <v/>
      </c>
      <c r="O2004" s="3" t="inlineStr">
        <is>
          <t>아임</t>
        </is>
      </c>
      <c r="P2004" s="4" t="n">
        <v>2</v>
      </c>
      <c r="Q2004" s="4" t="n">
        <v>975</v>
      </c>
      <c r="R2004" s="3" t="inlineStr">
        <is>
          <t>생산관리지역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공북리 산52-7</t>
        </is>
      </c>
      <c r="B2005" s="3" t="inlineStr">
        <is>
          <t>보전관리지역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190000</v>
      </c>
      <c r="G2005" s="4" t="n">
        <v>39425</v>
      </c>
      <c r="H2005" s="4" t="n">
        <v>11926</v>
      </c>
      <c r="I2005" s="5" t="n">
        <v>15.9</v>
      </c>
      <c r="J2005" s="5" t="n">
        <v>3.1</v>
      </c>
      <c r="K2005" s="3" t="inlineStr">
        <is>
          <t>카폐,전원주택 개발 가능여지 있음</t>
        </is>
      </c>
      <c r="L2005" s="6">
        <f>HYPERLINK("https://fin.land.naver.com/articles/2654775571", "매물Link")</f>
        <v/>
      </c>
      <c r="M2005" s="6">
        <f>HYPERLINK("https://map.naver.com/p/search/오송읍 공북리 산52-7", "지도Link")</f>
        <v/>
      </c>
      <c r="N2005" s="6">
        <f>HYPERLINK("http://www.eum.go.kr/web/ar/lu/luLandDet.jsp?pnu=4311325023200520007&amp;isNoScr=script&amp;mode=search", "토지이음")</f>
        <v/>
      </c>
      <c r="O2005" s="3" t="inlineStr">
        <is>
          <t>조은</t>
        </is>
      </c>
      <c r="P2005" s="4" t="n">
        <v>1</v>
      </c>
      <c r="Q2005" s="4" t="n">
        <v>2791</v>
      </c>
      <c r="R2005" s="3" t="inlineStr">
        <is>
          <t>지정되지않음</t>
        </is>
      </c>
      <c r="S2005" s="3" t="inlineStr">
        <is>
          <t>조림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궁평리 204-8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95000</v>
      </c>
      <c r="G2006" s="4" t="n">
        <v>2036</v>
      </c>
      <c r="H2006" s="4" t="n">
        <v>616</v>
      </c>
      <c r="I2006" s="5" t="n">
        <v>154.2</v>
      </c>
      <c r="J2006" s="5" t="n">
        <v>27.4</v>
      </c>
      <c r="K2006" s="3" t="inlineStr">
        <is>
          <t>오송읍 투자가치 높은 토지 매매</t>
        </is>
      </c>
      <c r="L2006" s="6">
        <f>HYPERLINK("https://fin.land.naver.com/articles/2653393609", "매물Link")</f>
        <v/>
      </c>
      <c r="M2006" s="6">
        <f>HYPERLINK("https://map.naver.com/p/search/오송읍 궁평리 204-8", "지도Link")</f>
        <v/>
      </c>
      <c r="N2006" s="6">
        <f>HYPERLINK("http://www.eum.go.kr/web/ar/lu/luLandDet.jsp?pnu=4311325027102040008&amp;isNoScr=script&amp;mode=search", "토지이음")</f>
        <v/>
      </c>
      <c r="O2006" s="3" t="inlineStr">
        <is>
          <t>대지</t>
        </is>
      </c>
      <c r="P2006" s="4" t="n">
        <v>1</v>
      </c>
      <c r="Q2006" s="4" t="n">
        <v>2036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세로한면(가)</t>
        </is>
      </c>
    </row>
    <row r="2007">
      <c r="A2007" s="3" t="inlineStr">
        <is>
          <t>오송읍 궁평리 213-3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47500</v>
      </c>
      <c r="G2007" s="4" t="n">
        <v>2093</v>
      </c>
      <c r="H2007" s="4" t="n">
        <v>633</v>
      </c>
      <c r="I2007" s="5" t="n">
        <v>75</v>
      </c>
      <c r="J2007" s="5" t="n">
        <v>30</v>
      </c>
      <c r="K2007" s="3" t="inlineStr">
        <is>
          <t>nan</t>
        </is>
      </c>
      <c r="L2007" s="6">
        <f>HYPERLINK("https://fin.land.naver.com/articles/2656387141", "매물Link")</f>
        <v/>
      </c>
      <c r="M2007" s="6">
        <f>HYPERLINK("https://map.naver.com/p/search/오송읍 궁평리 213-3", "지도Link")</f>
        <v/>
      </c>
      <c r="N2007" s="6">
        <f>HYPERLINK("http://www.eum.go.kr/web/ar/lu/luLandDet.jsp?pnu=4311325027102130003&amp;isNoScr=script&amp;mode=search", "토지이음")</f>
        <v/>
      </c>
      <c r="O2007" s="3" t="inlineStr">
        <is>
          <t>OK파라곤</t>
        </is>
      </c>
      <c r="P2007" s="4" t="n">
        <v>1</v>
      </c>
      <c r="Q2007" s="4" t="n">
        <v>2093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궁평리 216-6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90700</v>
      </c>
      <c r="G2008" s="4" t="n">
        <v>3740</v>
      </c>
      <c r="H2008" s="4" t="n">
        <v>1131</v>
      </c>
      <c r="I2008" s="5" t="n">
        <v>80.2</v>
      </c>
      <c r="J2008" s="5" t="n">
        <v>27</v>
      </c>
      <c r="K2008" s="3" t="inlineStr">
        <is>
          <t>궁평리 청주오스코 인근</t>
        </is>
      </c>
      <c r="L2008" s="6">
        <f>HYPERLINK("https://fin.land.naver.com/articles/2653380363", "매물Link")</f>
        <v/>
      </c>
      <c r="M2008" s="6">
        <f>HYPERLINK("https://map.naver.com/p/search/오송읍 궁평리 216-6", "지도Link")</f>
        <v/>
      </c>
      <c r="N2008" s="6">
        <f>HYPERLINK("http://www.eum.go.kr/web/ar/lu/luLandDet.jsp?pnu=4311325027102160006&amp;isNoScr=script&amp;mode=search", "토지이음")</f>
        <v/>
      </c>
      <c r="O2008" s="3" t="inlineStr">
        <is>
          <t>수풀림</t>
        </is>
      </c>
      <c r="P2008" s="4" t="n">
        <v>2</v>
      </c>
      <c r="Q2008" s="4" t="n">
        <v>3743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세로한면(불)</t>
        </is>
      </c>
    </row>
    <row r="2009">
      <c r="A2009" s="3" t="inlineStr">
        <is>
          <t>오송읍 궁평리 234-6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136000</v>
      </c>
      <c r="G2009" s="4" t="n">
        <v>3003</v>
      </c>
      <c r="H2009" s="4" t="n">
        <v>908</v>
      </c>
      <c r="I2009" s="5" t="n">
        <v>149.8</v>
      </c>
      <c r="J2009" s="5" t="n">
        <v>37.1</v>
      </c>
      <c r="K2009" s="3" t="inlineStr">
        <is>
          <t>매물특징</t>
        </is>
      </c>
      <c r="L2009" s="6">
        <f>HYPERLINK("https://fin.land.naver.com/articles/2654799108", "매물Link")</f>
        <v/>
      </c>
      <c r="M2009" s="6">
        <f>HYPERLINK("https://map.naver.com/p/search/오송읍 궁평리 234-6", "지도Link")</f>
        <v/>
      </c>
      <c r="N2009" s="6">
        <f>HYPERLINK("http://www.eum.go.kr/web/ar/lu/luLandDet.jsp?pnu=4311325027102340006&amp;isNoScr=script&amp;mode=search", "토지이음")</f>
        <v/>
      </c>
      <c r="O2009" s="3" t="inlineStr">
        <is>
          <t>오송궁평마을</t>
        </is>
      </c>
      <c r="P2009" s="4" t="n">
        <v>1</v>
      </c>
      <c r="Q2009" s="4" t="n">
        <v>3003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오송읍 궁평리 259-14</t>
        </is>
      </c>
      <c r="B2010" s="3" t="inlineStr">
        <is>
          <t>계획관리지역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80000</v>
      </c>
      <c r="G2010" s="4" t="n">
        <v>1144</v>
      </c>
      <c r="H2010" s="4" t="n">
        <v>346</v>
      </c>
      <c r="I2010" s="5" t="n">
        <v>231.2</v>
      </c>
      <c r="J2010" s="5" t="n">
        <v>93.90000000000001</v>
      </c>
      <c r="K2010" s="3" t="inlineStr">
        <is>
          <t>오송역 및 오스코 600m, 6차선 지하차도 예정지에 인접한 계획관리토지</t>
        </is>
      </c>
      <c r="L2010" s="6">
        <f>HYPERLINK("https://fin.land.naver.com/articles/2654630539", "매물Link")</f>
        <v/>
      </c>
      <c r="M2010" s="6">
        <f>HYPERLINK("https://map.naver.com/p/search/오송읍 궁평리 259-14", "지도Link")</f>
        <v/>
      </c>
      <c r="N2010" s="6">
        <f>HYPERLINK("http://www.eum.go.kr/web/ar/lu/luLandDet.jsp?pnu=4311325027102590014&amp;isNoScr=script&amp;mode=search", "토지이음")</f>
        <v/>
      </c>
      <c r="O2010" s="3" t="inlineStr">
        <is>
          <t>오송3산단  사무소</t>
        </is>
      </c>
      <c r="P2010" s="4" t="n">
        <v>1</v>
      </c>
      <c r="Q2010" s="4" t="n">
        <v>1144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세로한면(가)</t>
        </is>
      </c>
    </row>
    <row r="2011">
      <c r="A2011" s="3" t="inlineStr">
        <is>
          <t>오송읍 궁평리 272-3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85000</v>
      </c>
      <c r="G2011" s="4" t="n">
        <v>573</v>
      </c>
      <c r="H2011" s="4" t="n">
        <v>173</v>
      </c>
      <c r="I2011" s="5" t="n">
        <v>491.3</v>
      </c>
      <c r="J2011" s="5" t="n">
        <v>161.2</v>
      </c>
      <c r="K2011" s="3" t="inlineStr">
        <is>
          <t>오송역에서 가까운 궁평리에 위치한 토지임</t>
        </is>
      </c>
      <c r="L2011" s="6">
        <f>HYPERLINK("https://fin.land.naver.com/articles/2652419897", "매물Link")</f>
        <v/>
      </c>
      <c r="M2011" s="6">
        <f>HYPERLINK("https://map.naver.com/p/search/오송읍 궁평리 272-3", "지도Link")</f>
        <v/>
      </c>
      <c r="N2011" s="6">
        <f>HYPERLINK("http://www.eum.go.kr/web/ar/lu/luLandDet.jsp?pnu=4311325027102720003&amp;isNoScr=script&amp;mode=search", "토지이음")</f>
        <v/>
      </c>
      <c r="O2011" s="3" t="inlineStr">
        <is>
          <t>산성</t>
        </is>
      </c>
      <c r="P2011" s="4" t="n">
        <v>1</v>
      </c>
      <c r="Q2011" s="4" t="n">
        <v>573</v>
      </c>
      <c r="R2011" s="3" t="inlineStr">
        <is>
          <t>지정되지않음</t>
        </is>
      </c>
      <c r="S2011" s="3" t="inlineStr">
        <is>
          <t>단독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궁평리 278-1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227000</v>
      </c>
      <c r="G2012" s="4" t="n">
        <v>4076</v>
      </c>
      <c r="H2012" s="4" t="n">
        <v>1233</v>
      </c>
      <c r="I2012" s="5" t="n">
        <v>184.1</v>
      </c>
      <c r="J2012" s="5" t="n">
        <v>46.8</v>
      </c>
      <c r="K2012" s="3" t="inlineStr">
        <is>
          <t>매물특징</t>
        </is>
      </c>
      <c r="L2012" s="6">
        <f>HYPERLINK("https://fin.land.naver.com/articles/2654431239", "매물Link")</f>
        <v/>
      </c>
      <c r="M2012" s="6">
        <f>HYPERLINK("https://map.naver.com/p/search/오송읍 궁평리 278-1", "지도Link")</f>
        <v/>
      </c>
      <c r="N2012" s="6">
        <f>HYPERLINK("http://www.eum.go.kr/web/ar/lu/luLandDet.jsp?pnu=4311325027102780001&amp;isNoScr=script&amp;mode=search", "토지이음")</f>
        <v/>
      </c>
      <c r="O2012" s="3" t="inlineStr">
        <is>
          <t>오송궁평마을</t>
        </is>
      </c>
      <c r="P2012" s="4" t="n">
        <v>1</v>
      </c>
      <c r="Q2012" s="4" t="n">
        <v>4076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세로한면(불)</t>
        </is>
      </c>
    </row>
    <row r="2013">
      <c r="A2013" s="3" t="inlineStr">
        <is>
          <t>오송읍 궁평리 296-3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150000</v>
      </c>
      <c r="G2013" s="4" t="n">
        <v>3967</v>
      </c>
      <c r="H2013" s="4" t="n">
        <v>1200</v>
      </c>
      <c r="I2013" s="5" t="n">
        <v>125</v>
      </c>
      <c r="J2013" s="5" t="n">
        <v>53.7</v>
      </c>
      <c r="K2013" s="3" t="inlineStr">
        <is>
          <t>오송역 인근 장래개발 호재지역 투자용 대토용 조경업 농림관련산업</t>
        </is>
      </c>
      <c r="L2013" s="6">
        <f>HYPERLINK("https://fin.land.naver.com/articles/2652622632", "매물Link")</f>
        <v/>
      </c>
      <c r="M2013" s="6">
        <f>HYPERLINK("https://map.naver.com/p/search/오송읍 궁평리 296-3", "지도Link")</f>
        <v/>
      </c>
      <c r="N2013" s="6">
        <f>HYPERLINK("http://www.eum.go.kr/web/ar/lu/luLandDet.jsp?pnu=4311325027102960003&amp;isNoScr=script&amp;mode=search", "토지이음")</f>
        <v/>
      </c>
      <c r="O2013" s="3" t="inlineStr">
        <is>
          <t>재일합동사무소</t>
        </is>
      </c>
      <c r="P2013" s="4" t="n">
        <v>1</v>
      </c>
      <c r="Q2013" s="4" t="n">
        <v>3967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세로한면(가)</t>
        </is>
      </c>
    </row>
    <row r="2014">
      <c r="A2014" s="3" t="inlineStr">
        <is>
          <t>오송읍 궁평리 303-1</t>
        </is>
      </c>
      <c r="B2014" s="3" t="inlineStr">
        <is>
          <t>농림지역</t>
        </is>
      </c>
      <c r="C2014" s="3" t="inlineStr">
        <is>
          <t>과수원</t>
        </is>
      </c>
      <c r="D2014" s="3" t="inlineStr">
        <is>
          <t>과수원</t>
        </is>
      </c>
      <c r="E2014" s="3" t="inlineStr">
        <is>
          <t>매매</t>
        </is>
      </c>
      <c r="F2014" s="4" t="n">
        <v>105000</v>
      </c>
      <c r="G2014" s="4" t="n">
        <v>1523</v>
      </c>
      <c r="H2014" s="4" t="n">
        <v>461</v>
      </c>
      <c r="I2014" s="5" t="n">
        <v>227.8</v>
      </c>
      <c r="J2014" s="5" t="n">
        <v>63</v>
      </c>
      <c r="K2014" s="3" t="inlineStr">
        <is>
          <t>도로 접한 과수원 부지 매도 오송역 인근 장래 개발 호재 지역</t>
        </is>
      </c>
      <c r="L2014" s="6">
        <f>HYPERLINK("https://fin.land.naver.com/articles/2656026469", "매물Link")</f>
        <v/>
      </c>
      <c r="M2014" s="6">
        <f>HYPERLINK("https://map.naver.com/p/search/오송읍 궁평리 303-1", "지도Link")</f>
        <v/>
      </c>
      <c r="N2014" s="6">
        <f>HYPERLINK("http://www.eum.go.kr/web/ar/lu/luLandDet.jsp?pnu=4311325027103030001&amp;isNoScr=script&amp;mode=search", "토지이음")</f>
        <v/>
      </c>
      <c r="O2014" s="3" t="inlineStr">
        <is>
          <t>오송퍼스트영웅</t>
        </is>
      </c>
      <c r="P2014" s="4" t="n">
        <v>1</v>
      </c>
      <c r="Q2014" s="4" t="n">
        <v>1523</v>
      </c>
      <c r="R2014" s="3" t="inlineStr">
        <is>
          <t>지정되지않음</t>
        </is>
      </c>
      <c r="S2014" s="3" t="inlineStr">
        <is>
          <t>과수원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중로한면</t>
        </is>
      </c>
    </row>
    <row r="2015">
      <c r="A2015" s="3" t="inlineStr">
        <is>
          <t>오송읍 궁평리 61-6</t>
        </is>
      </c>
      <c r="B2015" s="3" t="inlineStr">
        <is>
          <t>계획관리지역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40000</v>
      </c>
      <c r="G2015" s="4" t="n">
        <v>347</v>
      </c>
      <c r="H2015" s="4" t="n">
        <v>105</v>
      </c>
      <c r="I2015" s="5" t="n">
        <v>381</v>
      </c>
      <c r="J2015" s="5" t="n">
        <v>103.6</v>
      </c>
      <c r="K2015" s="3" t="inlineStr">
        <is>
          <t>궁평리 전원주택 지을 토지 매매.</t>
        </is>
      </c>
      <c r="L2015" s="6">
        <f>HYPERLINK("https://fin.land.naver.com/articles/2652685481", "매물Link")</f>
        <v/>
      </c>
      <c r="M2015" s="6">
        <f>HYPERLINK("https://map.naver.com/p/search/오송읍 궁평리 61-6", "지도Link")</f>
        <v/>
      </c>
      <c r="N2015" s="6">
        <f>HYPERLINK("http://www.eum.go.kr/web/ar/lu/luLandDet.jsp?pnu=4311325027100610006&amp;isNoScr=script&amp;mode=search", "토지이음")</f>
        <v/>
      </c>
      <c r="O2015" s="3" t="inlineStr">
        <is>
          <t>대한민국</t>
        </is>
      </c>
      <c r="P2015" s="4" t="n">
        <v>1</v>
      </c>
      <c r="Q2015" s="4" t="n">
        <v>347</v>
      </c>
      <c r="R2015" s="3" t="inlineStr">
        <is>
          <t>지정되지않음</t>
        </is>
      </c>
      <c r="S2015" s="3" t="inlineStr">
        <is>
          <t>단독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세로한면(가)</t>
        </is>
      </c>
    </row>
    <row r="2016">
      <c r="A2016" s="3" t="inlineStr">
        <is>
          <t>오송읍 궁평리 81-7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145000</v>
      </c>
      <c r="G2016" s="4" t="n">
        <v>3848</v>
      </c>
      <c r="H2016" s="4" t="n">
        <v>1164</v>
      </c>
      <c r="I2016" s="5" t="n">
        <v>124.6</v>
      </c>
      <c r="J2016" s="5" t="n">
        <v>31.3</v>
      </c>
      <c r="K2016" s="3" t="inlineStr">
        <is>
          <t>매물특징  본토지 50m 전면 포장 도로 접함 대토용 적극추천</t>
        </is>
      </c>
      <c r="L2016" s="6">
        <f>HYPERLINK("https://fin.land.naver.com/articles/2655941950", "매물Link")</f>
        <v/>
      </c>
      <c r="M2016" s="6">
        <f>HYPERLINK("https://map.naver.com/p/search/오송읍 궁평리 81-7", "지도Link")</f>
        <v/>
      </c>
      <c r="N2016" s="6">
        <f>HYPERLINK("http://www.eum.go.kr/web/ar/lu/luLandDet.jsp?pnu=4311325027100810007&amp;isNoScr=script&amp;mode=search", "토지이음")</f>
        <v/>
      </c>
      <c r="O2016" s="3" t="inlineStr">
        <is>
          <t>오송궁평마을</t>
        </is>
      </c>
      <c r="P2016" s="4" t="n">
        <v>1</v>
      </c>
      <c r="Q2016" s="4" t="n">
        <v>3411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88-4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창고용지</t>
        </is>
      </c>
      <c r="E2017" s="3" t="inlineStr">
        <is>
          <t>매매</t>
        </is>
      </c>
      <c r="F2017" s="4" t="n">
        <v>45000</v>
      </c>
      <c r="G2017" s="4" t="n">
        <v>495</v>
      </c>
      <c r="H2017" s="4" t="n">
        <v>150</v>
      </c>
      <c r="I2017" s="5" t="n">
        <v>300</v>
      </c>
      <c r="J2017" s="5" t="n">
        <v>42.1</v>
      </c>
      <c r="K2017" s="3" t="inlineStr">
        <is>
          <t>nan</t>
        </is>
      </c>
      <c r="L2017" s="6">
        <f>HYPERLINK("https://fin.land.naver.com/articles/2656338944", "매물Link")</f>
        <v/>
      </c>
      <c r="M2017" s="6">
        <f>HYPERLINK("https://map.naver.com/p/search/오송읍 궁평리 88-4", "지도Link")</f>
        <v/>
      </c>
      <c r="N2017" s="6">
        <f>HYPERLINK("http://www.eum.go.kr/web/ar/lu/luLandDet.jsp?pnu=4311325027100880004&amp;isNoScr=script&amp;mode=search",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495</v>
      </c>
      <c r="R2017" s="3" t="inlineStr">
        <is>
          <t>지정되지않음</t>
        </is>
      </c>
      <c r="S2017" s="3" t="inlineStr">
        <is>
          <t>전창고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동평리 381-13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36000</v>
      </c>
      <c r="G2018" s="4" t="n">
        <v>2070</v>
      </c>
      <c r="H2018" s="4" t="n">
        <v>626</v>
      </c>
      <c r="I2018" s="5" t="n">
        <v>57.5</v>
      </c>
      <c r="J2018" s="5" t="n">
        <v>26.6</v>
      </c>
      <c r="K2018" s="3" t="inlineStr">
        <is>
          <t>오송3산단 수용지에 인접한 추가수용 유력토지, 착한가격의 투자용 매물</t>
        </is>
      </c>
      <c r="L2018" s="6">
        <f>HYPERLINK("https://fin.land.naver.com/articles/2654628723", "매물Link")</f>
        <v/>
      </c>
      <c r="M2018" s="6">
        <f>HYPERLINK("https://map.naver.com/p/search/오송읍 동평리 381-13", "지도Link")</f>
        <v/>
      </c>
      <c r="N2018" s="6">
        <f>HYPERLINK("http://www.eum.go.kr/web/ar/lu/luLandDet.jsp?pnu=4311325029103810013&amp;isNoScr=script&amp;mode=search",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1769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세로한면(불)</t>
        </is>
      </c>
    </row>
    <row r="2019">
      <c r="A2019" s="3" t="inlineStr">
        <is>
          <t>오송읍 동평리 95-1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40000</v>
      </c>
      <c r="G2019" s="4" t="n">
        <v>196</v>
      </c>
      <c r="H2019" s="4" t="n">
        <v>59</v>
      </c>
      <c r="I2019" s="5" t="n">
        <v>678</v>
      </c>
      <c r="J2019" s="5" t="n">
        <v>109.4</v>
      </c>
      <c r="K2019" s="3" t="inlineStr">
        <is>
          <t>청주시 흥덕구 오송읍 동평리에 위치한 토지및 근린생활시설임.</t>
        </is>
      </c>
      <c r="L2019" s="6">
        <f>HYPERLINK("https://fin.land.naver.com/articles/2652419826", "매물Link")</f>
        <v/>
      </c>
      <c r="M2019" s="6">
        <f>HYPERLINK("https://map.naver.com/p/search/오송읍 동평리 95-1", "지도Link")</f>
        <v/>
      </c>
      <c r="N2019" s="6">
        <f>HYPERLINK("http://www.eum.go.kr/web/ar/lu/luLandDet.jsp?pnu=4311325029100950001&amp;isNoScr=script&amp;mode=search",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184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세로각지(가)</t>
        </is>
      </c>
    </row>
    <row r="2020">
      <c r="A2020" s="3" t="inlineStr">
        <is>
          <t>오송읍 만수리 272-3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36000</v>
      </c>
      <c r="G2020" s="4" t="n">
        <v>1183</v>
      </c>
      <c r="H2020" s="4" t="n">
        <v>358</v>
      </c>
      <c r="I2020" s="5" t="n">
        <v>100.6</v>
      </c>
      <c r="J2020" s="5" t="n">
        <v>35.7</v>
      </c>
      <c r="K2020" s="3" t="inlineStr">
        <is>
          <t>농림지역 답 매도 오송 역세권 ktx  근접  투자 가치 뿜뿜</t>
        </is>
      </c>
      <c r="L2020" s="6">
        <f>HYPERLINK("https://fin.land.naver.com/articles/2654653202", "매물Link")</f>
        <v/>
      </c>
      <c r="M2020" s="6">
        <f>HYPERLINK("https://map.naver.com/p/search/오송읍 만수리 272-3", "지도Link")</f>
        <v/>
      </c>
      <c r="N2020" s="6">
        <f>HYPERLINK("http://www.eum.go.kr/web/ar/lu/luLandDet.jsp?pnu=4311325025102720003&amp;isNoScr=script&amp;mode=search", "토지이음")</f>
        <v/>
      </c>
      <c r="O2020" s="3" t="inlineStr">
        <is>
          <t>오송퍼스트영웅</t>
        </is>
      </c>
      <c r="P2020" s="4" t="n">
        <v>1</v>
      </c>
      <c r="Q2020" s="4" t="n">
        <v>1183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만수리 544</t>
        </is>
      </c>
      <c r="B2021" s="3" t="inlineStr">
        <is>
          <t>일반상업지역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100000</v>
      </c>
      <c r="G2021" s="4" t="n">
        <v>499</v>
      </c>
      <c r="H2021" s="4" t="n">
        <v>151</v>
      </c>
      <c r="I2021" s="5" t="n">
        <v>662.3</v>
      </c>
      <c r="J2021" s="5" t="n">
        <v>583.5</v>
      </c>
      <c r="K2021" s="3" t="inlineStr">
        <is>
          <t>오송1산단 상업지 급매, 오스코 바로 앞으로 미래 수요 가득</t>
        </is>
      </c>
      <c r="L2021" s="6">
        <f>HYPERLINK("https://fin.land.naver.com/articles/2656133368", "매물Link")</f>
        <v/>
      </c>
      <c r="M2021" s="6">
        <f>HYPERLINK("https://map.naver.com/p/search/오송읍 만수리 544", "지도Link")</f>
        <v/>
      </c>
      <c r="N2021" s="6">
        <f>HYPERLINK("http://www.eum.go.kr/web/ar/lu/luLandDet.jsp?pnu=4311325025105440000&amp;isNoScr=script&amp;mode=search",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499.9</v>
      </c>
      <c r="R2021" s="3" t="inlineStr">
        <is>
          <t>지정되지않음</t>
        </is>
      </c>
      <c r="S2021" s="3" t="inlineStr">
        <is>
          <t>상업용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중로한면</t>
        </is>
      </c>
    </row>
    <row r="2022">
      <c r="A2022" s="3" t="inlineStr">
        <is>
          <t>오송읍 만수리 866</t>
        </is>
      </c>
      <c r="B2022" s="3" t="inlineStr">
        <is>
          <t>일반상업지역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890000</v>
      </c>
      <c r="G2022" s="4" t="n">
        <v>1947</v>
      </c>
      <c r="H2022" s="4" t="n">
        <v>589</v>
      </c>
      <c r="I2022" s="5" t="n">
        <v>1511</v>
      </c>
      <c r="J2022" s="5" t="n">
        <v>486.3</v>
      </c>
      <c r="K2022" s="3" t="inlineStr">
        <is>
          <t>nan</t>
        </is>
      </c>
      <c r="L2022" s="6">
        <f>HYPERLINK("https://fin.land.naver.com/articles/2655411058", "매물Link")</f>
        <v/>
      </c>
      <c r="M2022" s="6">
        <f>HYPERLINK("https://map.naver.com/p/search/오송읍 만수리 866", "지도Link")</f>
        <v/>
      </c>
      <c r="N2022" s="6">
        <f>HYPERLINK("http://www.eum.go.kr/web/ar/lu/luLandDet.jsp?pnu=4311325025108660000&amp;isNoScr=script&amp;mode=search", "토지이음")</f>
        <v/>
      </c>
      <c r="O2022" s="3" t="inlineStr">
        <is>
          <t>지웰</t>
        </is>
      </c>
      <c r="P2022" s="4" t="n">
        <v>1</v>
      </c>
      <c r="Q2022" s="4" t="n">
        <v>513.7</v>
      </c>
      <c r="R2022" s="3" t="inlineStr">
        <is>
          <t>지정되지않음</t>
        </is>
      </c>
      <c r="S2022" s="3" t="inlineStr">
        <is>
          <t>상업용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중로각지</t>
        </is>
      </c>
    </row>
    <row r="2023">
      <c r="A2023" s="3" t="inlineStr">
        <is>
          <t>오송읍 봉산리 1124</t>
        </is>
      </c>
      <c r="B2023" s="3" t="inlineStr">
        <is>
          <t>제1종일반주거지역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45000</v>
      </c>
      <c r="G2023" s="4" t="n">
        <v>240</v>
      </c>
      <c r="H2023" s="4" t="n">
        <v>73</v>
      </c>
      <c r="I2023" s="5" t="n">
        <v>616.4</v>
      </c>
      <c r="J2023" s="5" t="n">
        <v>208.1</v>
      </c>
      <c r="K2023" s="3" t="inlineStr">
        <is>
          <t>가격조율 최대한 해볼게요 위치좋은 먹자골목 상권 토지</t>
        </is>
      </c>
      <c r="L2023" s="6">
        <f>HYPERLINK("https://fin.land.naver.com/articles/2652318391", "매물Link")</f>
        <v/>
      </c>
      <c r="M2023" s="6">
        <f>HYPERLINK("https://map.naver.com/p/search/오송읍 봉산리 1124", "지도Link")</f>
        <v/>
      </c>
      <c r="N2023" s="6">
        <f>HYPERLINK("http://www.eum.go.kr/web/ar/lu/luLandDet.jsp?pnu=4311325031111240000&amp;isNoScr=script&amp;mode=search", "토지이음")</f>
        <v/>
      </c>
      <c r="O2023" s="3" t="inlineStr">
        <is>
          <t>복덩이</t>
        </is>
      </c>
      <c r="P2023" s="4" t="n">
        <v>1</v>
      </c>
      <c r="Q2023" s="4" t="n">
        <v>240.6</v>
      </c>
      <c r="R2023" s="3" t="inlineStr">
        <is>
          <t>지정되지않음</t>
        </is>
      </c>
      <c r="S2023" s="3" t="inlineStr">
        <is>
          <t>주거기타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소로한면</t>
        </is>
      </c>
    </row>
    <row r="2024">
      <c r="A2024" s="3" t="inlineStr">
        <is>
          <t>오송읍 봉산리 1208</t>
        </is>
      </c>
      <c r="B2024" s="3" t="inlineStr">
        <is>
          <t>제1종일반주거지역</t>
        </is>
      </c>
      <c r="C2024" s="3" t="inlineStr">
        <is>
          <t>대</t>
        </is>
      </c>
      <c r="D2024" s="3" t="inlineStr">
        <is>
          <t>대</t>
        </is>
      </c>
      <c r="E2024" s="3" t="inlineStr">
        <is>
          <t>매매</t>
        </is>
      </c>
      <c r="F2024" s="4" t="n">
        <v>50000</v>
      </c>
      <c r="G2024" s="4" t="n">
        <v>264</v>
      </c>
      <c r="H2024" s="4" t="n">
        <v>80</v>
      </c>
      <c r="I2024" s="5" t="n">
        <v>625</v>
      </c>
      <c r="J2024" s="5" t="n">
        <v>206.3</v>
      </c>
      <c r="K2024" s="3" t="inlineStr">
        <is>
          <t>nan</t>
        </is>
      </c>
      <c r="L2024" s="6">
        <f>HYPERLINK("https://fin.land.naver.com/articles/2656118208", "매물Link")</f>
        <v/>
      </c>
      <c r="M2024" s="6">
        <f>HYPERLINK("https://map.naver.com/p/search/오송읍 봉산리 1208", "지도Link")</f>
        <v/>
      </c>
      <c r="N2024" s="6">
        <f>HYPERLINK("http://www.eum.go.kr/web/ar/lu/luLandDet.jsp?pnu=4311325031112080000&amp;isNoScr=script&amp;mode=search", "토지이음")</f>
        <v/>
      </c>
      <c r="O2024" s="3" t="inlineStr">
        <is>
          <t>아임</t>
        </is>
      </c>
      <c r="P2024" s="4" t="n">
        <v>1</v>
      </c>
      <c r="Q2024" s="4" t="n">
        <v>264.6</v>
      </c>
      <c r="R2024" s="3" t="inlineStr">
        <is>
          <t>지정되지않음</t>
        </is>
      </c>
      <c r="S2024" s="3" t="inlineStr">
        <is>
          <t>주거기타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소로한면</t>
        </is>
      </c>
    </row>
    <row r="2025">
      <c r="A2025" s="3" t="inlineStr">
        <is>
          <t>오송읍 봉산리 1209</t>
        </is>
      </c>
      <c r="B2025" s="3" t="inlineStr">
        <is>
          <t>제1종일반주거지역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60000</v>
      </c>
      <c r="G2025" s="4" t="n">
        <v>264</v>
      </c>
      <c r="H2025" s="4" t="n">
        <v>80</v>
      </c>
      <c r="I2025" s="5" t="n">
        <v>750</v>
      </c>
      <c r="J2025" s="5" t="n">
        <v>206.3</v>
      </c>
      <c r="K2025" s="3" t="inlineStr">
        <is>
          <t>오송 2산업단지 준주거지역과 접해있고 상업지역과도 50m정도 떨어져 있음</t>
        </is>
      </c>
      <c r="L2025" s="6">
        <f>HYPERLINK("https://fin.land.naver.com/articles/2656048218", "매물Link")</f>
        <v/>
      </c>
      <c r="M2025" s="6">
        <f>HYPERLINK("https://map.naver.com/p/search/오송읍 봉산리 1209", "지도Link")</f>
        <v/>
      </c>
      <c r="N2025" s="6">
        <f>HYPERLINK("http://www.eum.go.kr/web/ar/lu/luLandDet.jsp?pnu=4311325031112090000&amp;isNoScr=script&amp;mode=search", "토지이음")</f>
        <v/>
      </c>
      <c r="O2025" s="3" t="inlineStr">
        <is>
          <t>스마일세종</t>
        </is>
      </c>
      <c r="P2025" s="4" t="n">
        <v>1</v>
      </c>
      <c r="Q2025" s="4" t="n">
        <v>264.8</v>
      </c>
      <c r="R2025" s="3" t="inlineStr">
        <is>
          <t>지정되지않음</t>
        </is>
      </c>
      <c r="S2025" s="3" t="inlineStr">
        <is>
          <t>주거기타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봉산리 1221</t>
        </is>
      </c>
      <c r="B2026" s="3" t="inlineStr">
        <is>
          <t>준주거지역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124630</v>
      </c>
      <c r="G2026" s="4" t="n">
        <v>412</v>
      </c>
      <c r="H2026" s="4" t="n">
        <v>125</v>
      </c>
      <c r="I2026" s="5" t="n">
        <v>997</v>
      </c>
      <c r="J2026" s="5" t="n">
        <v>624.1</v>
      </c>
      <c r="K2026" s="3" t="inlineStr">
        <is>
          <t>오송역세권 오피스 조성지역 근생토지</t>
        </is>
      </c>
      <c r="L2026" s="6">
        <f>HYPERLINK("https://fin.land.naver.com/articles/2653257226", "매물Link")</f>
        <v/>
      </c>
      <c r="M2026" s="6">
        <f>HYPERLINK("https://map.naver.com/p/search/오송읍 봉산리 1221", "지도Link")</f>
        <v/>
      </c>
      <c r="N2026" s="6">
        <f>HYPERLINK("http://www.eum.go.kr/web/ar/lu/luLandDet.jsp?pnu=4311325031112210000&amp;isNoScr=script&amp;mode=search", "토지이음")</f>
        <v/>
      </c>
      <c r="O2026" s="3" t="inlineStr">
        <is>
          <t>프로</t>
        </is>
      </c>
      <c r="P2026" s="4" t="n">
        <v>2</v>
      </c>
      <c r="Q2026" s="4" t="n">
        <v>412</v>
      </c>
      <c r="R2026" s="3" t="inlineStr">
        <is>
          <t>지정되지않음</t>
        </is>
      </c>
      <c r="S2026" s="3" t="inlineStr">
        <is>
          <t>상업기타</t>
        </is>
      </c>
      <c r="T2026" s="3" t="inlineStr">
        <is>
          <t>평지</t>
        </is>
      </c>
      <c r="U2026" s="3" t="inlineStr">
        <is>
          <t>가로장방</t>
        </is>
      </c>
      <c r="V2026" s="3" t="inlineStr">
        <is>
          <t>중로각지</t>
        </is>
      </c>
    </row>
    <row r="2027">
      <c r="A2027" s="3" t="inlineStr">
        <is>
          <t>오송읍 봉산리 1276</t>
        </is>
      </c>
      <c r="B2027" s="3" t="inlineStr">
        <is>
          <t>제1종일반주거지역</t>
        </is>
      </c>
      <c r="C2027" s="3" t="inlineStr">
        <is>
          <t>주차장</t>
        </is>
      </c>
      <c r="D2027" s="3" t="inlineStr">
        <is>
          <t>주차장</t>
        </is>
      </c>
      <c r="E2027" s="3" t="inlineStr">
        <is>
          <t>매매</t>
        </is>
      </c>
      <c r="F2027" s="4" t="n">
        <v>165000</v>
      </c>
      <c r="G2027" s="4" t="n">
        <v>1091</v>
      </c>
      <c r="H2027" s="4" t="n">
        <v>330</v>
      </c>
      <c r="I2027" s="5" t="n">
        <v>500</v>
      </c>
      <c r="J2027" s="5" t="n">
        <v>220.4</v>
      </c>
      <c r="K2027" s="3" t="inlineStr">
        <is>
          <t>주차타워와 1층 근생상가 가능한 매력적인 주차장용지</t>
        </is>
      </c>
      <c r="L2027" s="6">
        <f>HYPERLINK("https://fin.land.naver.com/articles/2650859464", "매물Link")</f>
        <v/>
      </c>
      <c r="M2027" s="6">
        <f>HYPERLINK("https://map.naver.com/p/search/오송읍 봉산리 1276", "지도Link")</f>
        <v/>
      </c>
      <c r="N2027" s="6">
        <f>HYPERLINK("http://www.eum.go.kr/web/ar/lu/luLandDet.jsp?pnu=4311325031112760000&amp;isNoScr=script&amp;mode=search", "토지이음")</f>
        <v/>
      </c>
      <c r="O2027" s="3" t="inlineStr">
        <is>
          <t>프로</t>
        </is>
      </c>
      <c r="P2027" s="4" t="n">
        <v>1</v>
      </c>
      <c r="Q2027" s="4" t="n">
        <v>1091.4</v>
      </c>
      <c r="R2027" s="3" t="inlineStr">
        <is>
          <t>지정되지않음</t>
        </is>
      </c>
      <c r="S2027" s="3" t="inlineStr">
        <is>
          <t>주차장등</t>
        </is>
      </c>
      <c r="T2027" s="3" t="inlineStr">
        <is>
          <t>평지</t>
        </is>
      </c>
      <c r="U2027" s="3" t="inlineStr">
        <is>
          <t>가로장방</t>
        </is>
      </c>
      <c r="V2027" s="3" t="inlineStr">
        <is>
          <t>중로각지</t>
        </is>
      </c>
    </row>
    <row r="2028">
      <c r="A2028" s="3" t="inlineStr">
        <is>
          <t>오송읍 봉산리 1293</t>
        </is>
      </c>
      <c r="B2028" s="3" t="inlineStr">
        <is>
          <t>준주거지역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169000</v>
      </c>
      <c r="G2028" s="4" t="n">
        <v>414</v>
      </c>
      <c r="H2028" s="4" t="n">
        <v>125</v>
      </c>
      <c r="I2028" s="5" t="n">
        <v>1352</v>
      </c>
      <c r="J2028" s="5" t="n">
        <v>624.1</v>
      </c>
      <c r="K2028" s="3" t="inlineStr">
        <is>
          <t>오송2산단으로 배후세력 2만여세대의 준주거지역 근생토지,대로변에 위치</t>
        </is>
      </c>
      <c r="L2028" s="6">
        <f>HYPERLINK("https://fin.land.naver.com/articles/2653578931", "매물Link")</f>
        <v/>
      </c>
      <c r="M2028" s="6">
        <f>HYPERLINK("https://map.naver.com/p/search/오송읍 봉산리 1293", "지도Link")</f>
        <v/>
      </c>
      <c r="N2028" s="6">
        <f>HYPERLINK("http://www.eum.go.kr/web/ar/lu/luLandDet.jsp?pnu=4311325031112930000&amp;isNoScr=script&amp;mode=search", "토지이음")</f>
        <v/>
      </c>
      <c r="O2028" s="3" t="inlineStr">
        <is>
          <t>(주)미르</t>
        </is>
      </c>
      <c r="P2028" s="4" t="n">
        <v>2</v>
      </c>
      <c r="Q2028" s="4" t="n">
        <v>413.5</v>
      </c>
      <c r="R2028" s="3" t="inlineStr">
        <is>
          <t>지정되지않음</t>
        </is>
      </c>
      <c r="S2028" s="3" t="inlineStr">
        <is>
          <t>상업기타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중로각지</t>
        </is>
      </c>
    </row>
    <row r="2029">
      <c r="A2029" s="3" t="inlineStr">
        <is>
          <t>오송읍 봉산리 1296</t>
        </is>
      </c>
      <c r="B2029" s="3" t="inlineStr">
        <is>
          <t>준주거지역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162000</v>
      </c>
      <c r="G2029" s="4" t="n">
        <v>411</v>
      </c>
      <c r="H2029" s="4" t="n">
        <v>124</v>
      </c>
      <c r="I2029" s="5" t="n">
        <v>1306.5</v>
      </c>
      <c r="J2029" s="5" t="n">
        <v>624.1</v>
      </c>
      <c r="K2029" s="3" t="inlineStr">
        <is>
          <t>오송역 인근 근생용지 매매, 평당 약 1300만원</t>
        </is>
      </c>
      <c r="L2029" s="6">
        <f>HYPERLINK("https://fin.land.naver.com/articles/2655277707", "매물Link")</f>
        <v/>
      </c>
      <c r="M2029" s="6">
        <f>HYPERLINK("https://map.naver.com/p/search/오송읍 봉산리 1296", "지도Link")</f>
        <v/>
      </c>
      <c r="N2029" s="6">
        <f>HYPERLINK("http://www.eum.go.kr/web/ar/lu/luLandDet.jsp?pnu=4311325031112960000&amp;isNoScr=script&amp;mode=search", "토지이음")</f>
        <v/>
      </c>
      <c r="O2029" s="3" t="inlineStr">
        <is>
          <t>광장</t>
        </is>
      </c>
      <c r="P2029" s="4" t="n">
        <v>1</v>
      </c>
      <c r="Q2029" s="4" t="n">
        <v>411.7</v>
      </c>
      <c r="R2029" s="3" t="inlineStr">
        <is>
          <t>지정되지않음</t>
        </is>
      </c>
      <c r="S2029" s="3" t="inlineStr">
        <is>
          <t>상업기타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중로각지</t>
        </is>
      </c>
    </row>
    <row r="2030">
      <c r="A2030" s="3" t="inlineStr">
        <is>
          <t>오송읍 봉산리 1297</t>
        </is>
      </c>
      <c r="B2030" s="3" t="inlineStr">
        <is>
          <t>준주거지역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190000</v>
      </c>
      <c r="G2030" s="4" t="n">
        <v>421</v>
      </c>
      <c r="H2030" s="4" t="n">
        <v>127</v>
      </c>
      <c r="I2030" s="5" t="n">
        <v>1496.1</v>
      </c>
      <c r="J2030" s="5" t="n">
        <v>624.1</v>
      </c>
      <c r="K2030" s="3" t="inlineStr">
        <is>
          <t>코너 근생용지 매매, 평당 약 1500만원</t>
        </is>
      </c>
      <c r="L2030" s="6">
        <f>HYPERLINK("https://fin.land.naver.com/articles/2655277717", "매물Link")</f>
        <v/>
      </c>
      <c r="M2030" s="6">
        <f>HYPERLINK("https://map.naver.com/p/search/오송읍 봉산리 1297", "지도Link")</f>
        <v/>
      </c>
      <c r="N2030" s="6">
        <f>HYPERLINK("http://www.eum.go.kr/web/ar/lu/luLandDet.jsp?pnu=4311325031112970000&amp;isNoScr=script&amp;mode=search", "토지이음")</f>
        <v/>
      </c>
      <c r="O2030" s="3" t="inlineStr">
        <is>
          <t>광장</t>
        </is>
      </c>
      <c r="P2030" s="4" t="n">
        <v>1</v>
      </c>
      <c r="Q2030" s="4" t="n">
        <v>421.4</v>
      </c>
      <c r="R2030" s="3" t="inlineStr">
        <is>
          <t>지정되지않음</t>
        </is>
      </c>
      <c r="S2030" s="3" t="inlineStr">
        <is>
          <t>상업기타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중로각지</t>
        </is>
      </c>
    </row>
    <row r="2031">
      <c r="A2031" s="3" t="inlineStr">
        <is>
          <t>오송읍 봉산리 1298</t>
        </is>
      </c>
      <c r="B2031" s="3" t="inlineStr">
        <is>
          <t>일반상업지역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420000</v>
      </c>
      <c r="G2031" s="4" t="n">
        <v>1164</v>
      </c>
      <c r="H2031" s="4" t="n">
        <v>352</v>
      </c>
      <c r="I2031" s="5" t="n">
        <v>1193.2</v>
      </c>
      <c r="J2031" s="5" t="n">
        <v>585.5</v>
      </c>
      <c r="K2031" s="3" t="inlineStr">
        <is>
          <t>삼면 코너각지 소송2산단 오송역주변 상권 010 3022 3841</t>
        </is>
      </c>
      <c r="L2031" s="6">
        <f>HYPERLINK("https://fin.land.naver.com/articles/2651087997", "매물Link")</f>
        <v/>
      </c>
      <c r="M2031" s="6">
        <f>HYPERLINK("https://map.naver.com/p/search/오송읍 봉산리 1298", "지도Link")</f>
        <v/>
      </c>
      <c r="N2031" s="6">
        <f>HYPERLINK("http://www.eum.go.kr/web/ar/lu/luLandDet.jsp?pnu=4311325031112980000&amp;isNoScr=script&amp;mode=search", "토지이음")</f>
        <v/>
      </c>
      <c r="O2031" s="3" t="inlineStr">
        <is>
          <t>세종스타</t>
        </is>
      </c>
      <c r="P2031" s="4" t="n">
        <v>1</v>
      </c>
      <c r="Q2031" s="4" t="n">
        <v>1164.1</v>
      </c>
      <c r="R2031" s="3" t="inlineStr">
        <is>
          <t>지정되지않음</t>
        </is>
      </c>
      <c r="S2031" s="3" t="inlineStr">
        <is>
          <t>상업기타</t>
        </is>
      </c>
      <c r="T2031" s="3" t="inlineStr">
        <is>
          <t>평지</t>
        </is>
      </c>
      <c r="U2031" s="3" t="inlineStr">
        <is>
          <t>가로장방</t>
        </is>
      </c>
      <c r="V2031" s="3" t="inlineStr">
        <is>
          <t>중로각지</t>
        </is>
      </c>
    </row>
    <row r="2032">
      <c r="A2032" s="3" t="inlineStr">
        <is>
          <t>오송읍 봉산리 1299</t>
        </is>
      </c>
      <c r="B2032" s="3" t="inlineStr">
        <is>
          <t>일반상업지역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390000</v>
      </c>
      <c r="G2032" s="4" t="n">
        <v>1195</v>
      </c>
      <c r="H2032" s="4" t="n">
        <v>361</v>
      </c>
      <c r="I2032" s="5" t="n">
        <v>1080.3</v>
      </c>
      <c r="J2032" s="5" t="n">
        <v>579.5</v>
      </c>
      <c r="K2032" s="3" t="inlineStr">
        <is>
          <t>근생, 사옥부지 등으로 좋은 오송역세권 상업용지</t>
        </is>
      </c>
      <c r="L2032" s="6">
        <f>HYPERLINK("https://fin.land.naver.com/articles/2653257906", "매물Link")</f>
        <v/>
      </c>
      <c r="M2032" s="6">
        <f>HYPERLINK("https://map.naver.com/p/search/오송읍 봉산리 1299", "지도Link")</f>
        <v/>
      </c>
      <c r="N2032" s="6">
        <f>HYPERLINK("http://www.eum.go.kr/web/ar/lu/luLandDet.jsp?pnu=4311325031112990000&amp;isNoScr=script&amp;mode=search", "토지이음")</f>
        <v/>
      </c>
      <c r="O2032" s="3" t="inlineStr">
        <is>
          <t>프로</t>
        </is>
      </c>
      <c r="P2032" s="4" t="n">
        <v>1</v>
      </c>
      <c r="Q2032" s="4" t="n">
        <v>1195.9</v>
      </c>
      <c r="R2032" s="3" t="inlineStr">
        <is>
          <t>지정되지않음</t>
        </is>
      </c>
      <c r="S2032" s="3" t="inlineStr">
        <is>
          <t>상업기타</t>
        </is>
      </c>
      <c r="T2032" s="3" t="inlineStr">
        <is>
          <t>평지</t>
        </is>
      </c>
      <c r="U2032" s="3" t="inlineStr">
        <is>
          <t>가로장방</t>
        </is>
      </c>
      <c r="V2032" s="3" t="inlineStr">
        <is>
          <t>중로각지</t>
        </is>
      </c>
    </row>
    <row r="2033">
      <c r="A2033" s="3" t="inlineStr">
        <is>
          <t>오송읍 봉산리 1301</t>
        </is>
      </c>
      <c r="B2033" s="3" t="inlineStr">
        <is>
          <t>일반상업지역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456000</v>
      </c>
      <c r="G2033" s="4" t="n">
        <v>1115</v>
      </c>
      <c r="H2033" s="4" t="n">
        <v>337</v>
      </c>
      <c r="I2033" s="5" t="n">
        <v>1353.1</v>
      </c>
      <c r="J2033" s="5" t="n">
        <v>618.2</v>
      </c>
      <c r="K2033" s="3" t="inlineStr">
        <is>
          <t>연제 저수지 앞 상업용지 호텔 개발 추천부지</t>
        </is>
      </c>
      <c r="L2033" s="6">
        <f>HYPERLINK("https://fin.land.naver.com/articles/2654962140", "매물Link")</f>
        <v/>
      </c>
      <c r="M2033" s="6">
        <f>HYPERLINK("https://map.naver.com/p/search/오송읍 봉산리 1301", "지도Link")</f>
        <v/>
      </c>
      <c r="N2033" s="6">
        <f>HYPERLINK("http://www.eum.go.kr/web/ar/lu/luLandDet.jsp?pnu=4311325031113010000&amp;isNoScr=script&amp;mode=search", "토지이음")</f>
        <v/>
      </c>
      <c r="O2033" s="3" t="inlineStr">
        <is>
          <t>(주)마이다스역삼센터</t>
        </is>
      </c>
      <c r="P2033" s="4" t="n">
        <v>1</v>
      </c>
      <c r="Q2033" s="4" t="n">
        <v>1115.2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1308</t>
        </is>
      </c>
      <c r="B2034" s="3" t="inlineStr">
        <is>
          <t>일반상업지역</t>
        </is>
      </c>
      <c r="C2034" s="3" t="inlineStr">
        <is>
          <t>대</t>
        </is>
      </c>
      <c r="D2034" s="3" t="inlineStr">
        <is>
          <t>대</t>
        </is>
      </c>
      <c r="E2034" s="3" t="inlineStr">
        <is>
          <t>매매</t>
        </is>
      </c>
      <c r="F2034" s="4" t="n">
        <v>300000</v>
      </c>
      <c r="G2034" s="4" t="n">
        <v>820</v>
      </c>
      <c r="H2034" s="4" t="n">
        <v>248</v>
      </c>
      <c r="I2034" s="5" t="n">
        <v>1209.7</v>
      </c>
      <c r="J2034" s="5" t="n">
        <v>606.3</v>
      </c>
      <c r="K2034" s="3" t="inlineStr">
        <is>
          <t>애견카페, 캠핑장식당으로 즉시 활용 가능함 주변 공기관 계속 입점 중</t>
        </is>
      </c>
      <c r="L2034" s="6">
        <f>HYPERLINK("https://fin.land.naver.com/articles/2656050188", "매물Link")</f>
        <v/>
      </c>
      <c r="M2034" s="6">
        <f>HYPERLINK("https://map.naver.com/p/search/오송읍 봉산리 1308", "지도Link")</f>
        <v/>
      </c>
      <c r="N2034" s="6">
        <f>HYPERLINK("http://www.eum.go.kr/web/ar/lu/luLandDet.jsp?pnu=4311325031113080000&amp;isNoScr=script&amp;mode=search", "토지이음")</f>
        <v/>
      </c>
      <c r="O2034" s="3" t="inlineStr">
        <is>
          <t>오송2단지창조</t>
        </is>
      </c>
      <c r="P2034" s="4" t="n">
        <v>1</v>
      </c>
      <c r="Q2034" s="4" t="n">
        <v>820.6</v>
      </c>
      <c r="R2034" s="3" t="inlineStr">
        <is>
          <t>지정되지않음</t>
        </is>
      </c>
      <c r="S2034" s="3" t="inlineStr">
        <is>
          <t>상업기타</t>
        </is>
      </c>
      <c r="T2034" s="3" t="inlineStr">
        <is>
          <t>평지</t>
        </is>
      </c>
      <c r="U2034" s="3" t="inlineStr">
        <is>
          <t>정방형</t>
        </is>
      </c>
      <c r="V2034" s="3" t="inlineStr">
        <is>
          <t>중로각지</t>
        </is>
      </c>
    </row>
    <row r="2035">
      <c r="A2035" s="3" t="inlineStr">
        <is>
          <t>오송읍 봉산리 1321</t>
        </is>
      </c>
      <c r="B2035" s="3" t="inlineStr">
        <is>
          <t>일반상업지역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466000</v>
      </c>
      <c r="G2035" s="4" t="n">
        <v>1541</v>
      </c>
      <c r="H2035" s="4" t="n">
        <v>466</v>
      </c>
      <c r="I2035" s="5" t="n">
        <v>1000</v>
      </c>
      <c r="J2035" s="5" t="n">
        <v>550.1</v>
      </c>
      <c r="K2035" s="3" t="inlineStr">
        <is>
          <t>오송역 3분 기업 사옥부지 추천 주변 다수 공공기관 포진</t>
        </is>
      </c>
      <c r="L2035" s="6">
        <f>HYPERLINK("https://fin.land.naver.com/articles/2653335494", "매물Link")</f>
        <v/>
      </c>
      <c r="M2035" s="6">
        <f>HYPERLINK("https://map.naver.com/p/search/오송읍 봉산리 1321", "지도Link")</f>
        <v/>
      </c>
      <c r="N2035" s="6">
        <f>HYPERLINK("http://www.eum.go.kr/web/ar/lu/luLandDet.jsp?pnu=4311325031113210000&amp;isNoScr=script&amp;mode=search", "토지이음")</f>
        <v/>
      </c>
      <c r="O2035" s="3" t="inlineStr">
        <is>
          <t>새봄</t>
        </is>
      </c>
      <c r="P2035" s="4" t="n">
        <v>2</v>
      </c>
      <c r="Q2035" s="4" t="n">
        <v>1541.1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중로한면</t>
        </is>
      </c>
    </row>
    <row r="2036">
      <c r="A2036" s="3" t="inlineStr">
        <is>
          <t>오송읍 봉산리 1324</t>
        </is>
      </c>
      <c r="B2036" s="3" t="inlineStr">
        <is>
          <t>일반상업지역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460000</v>
      </c>
      <c r="G2036" s="4" t="n">
        <v>1524</v>
      </c>
      <c r="H2036" s="4" t="n">
        <v>461</v>
      </c>
      <c r="I2036" s="5" t="n">
        <v>997.8</v>
      </c>
      <c r="J2036" s="5" t="n">
        <v>573.2</v>
      </c>
      <c r="K2036" s="3" t="inlineStr">
        <is>
          <t>nan</t>
        </is>
      </c>
      <c r="L2036" s="6">
        <f>HYPERLINK("https://fin.land.naver.com/articles/2656371290", "매물Link")</f>
        <v/>
      </c>
      <c r="M2036" s="6">
        <f>HYPERLINK("https://map.naver.com/p/search/오송읍 봉산리 1324", "지도Link")</f>
        <v/>
      </c>
      <c r="N2036" s="6">
        <f>HYPERLINK("http://www.eum.go.kr/web/ar/lu/luLandDet.jsp?pnu=4311325031113240000&amp;isNoScr=script&amp;mode=search", "토지이음")</f>
        <v/>
      </c>
      <c r="O2036" s="3" t="inlineStr">
        <is>
          <t>햇빛</t>
        </is>
      </c>
      <c r="P2036" s="4" t="n">
        <v>2</v>
      </c>
      <c r="Q2036" s="4" t="n">
        <v>1524.9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정방형</t>
        </is>
      </c>
      <c r="V2036" s="3" t="inlineStr">
        <is>
          <t>중로각지</t>
        </is>
      </c>
    </row>
    <row r="2037">
      <c r="A2037" s="3" t="inlineStr">
        <is>
          <t>오송읍 봉산리 1326</t>
        </is>
      </c>
      <c r="B2037" s="3" t="inlineStr">
        <is>
          <t>일반상업지역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500000</v>
      </c>
      <c r="G2037" s="4" t="n">
        <v>889</v>
      </c>
      <c r="H2037" s="4" t="n">
        <v>269</v>
      </c>
      <c r="I2037" s="5" t="n">
        <v>1858.7</v>
      </c>
      <c r="J2037" s="5" t="n">
        <v>719.3</v>
      </c>
      <c r="K2037" s="3" t="inlineStr">
        <is>
          <t>오송역 인근 일반상업지역 숙박업가능 토지매매개발호재 풍부진입도로 완비</t>
        </is>
      </c>
      <c r="L2037" s="6">
        <f>HYPERLINK("https://fin.land.naver.com/articles/2655321826", "매물Link")</f>
        <v/>
      </c>
      <c r="M2037" s="6">
        <f>HYPERLINK("https://map.naver.com/p/search/오송읍 봉산리 1326", "지도Link")</f>
        <v/>
      </c>
      <c r="N2037" s="6">
        <f>HYPERLINK("http://www.eum.go.kr/web/ar/lu/luLandDet.jsp?pnu=4311325031113260000&amp;isNoScr=script&amp;mode=search", "토지이음")</f>
        <v/>
      </c>
      <c r="O2037" s="3" t="inlineStr">
        <is>
          <t>엠즈앤프라퍼티주식회사</t>
        </is>
      </c>
      <c r="P2037" s="4" t="n">
        <v>1</v>
      </c>
      <c r="Q2037" s="4" t="n">
        <v>889.6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광대소각</t>
        </is>
      </c>
    </row>
    <row r="2038">
      <c r="A2038" s="3" t="inlineStr">
        <is>
          <t>오송읍 봉산리 1328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598000</v>
      </c>
      <c r="G2038" s="4" t="n">
        <v>859</v>
      </c>
      <c r="H2038" s="4" t="n">
        <v>260</v>
      </c>
      <c r="I2038" s="5" t="n">
        <v>2300</v>
      </c>
      <c r="J2038" s="5" t="n">
        <v>660.2</v>
      </c>
      <c r="K2038" s="3" t="inlineStr">
        <is>
          <t>오송역 초역세권 4거리코너 급매</t>
        </is>
      </c>
      <c r="L2038" s="6">
        <f>HYPERLINK("https://fin.land.naver.com/articles/2654886627", "매물Link")</f>
        <v/>
      </c>
      <c r="M2038" s="6">
        <f>HYPERLINK("https://map.naver.com/p/search/오송읍 봉산리 1328", "지도Link")</f>
        <v/>
      </c>
      <c r="N2038" s="6">
        <f>HYPERLINK("http://www.eum.go.kr/web/ar/lu/luLandDet.jsp?pnu=4311325031113280000&amp;isNoScr=script&amp;mode=search", "토지이음")</f>
        <v/>
      </c>
      <c r="O2038" s="3" t="inlineStr">
        <is>
          <t>하나</t>
        </is>
      </c>
      <c r="P2038" s="4" t="n">
        <v>1</v>
      </c>
      <c r="Q2038" s="4" t="n">
        <v>858.6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광대소각</t>
        </is>
      </c>
    </row>
    <row r="2039">
      <c r="A2039" s="3" t="inlineStr">
        <is>
          <t>오송읍 봉산리 1344</t>
        </is>
      </c>
      <c r="B2039" s="3" t="inlineStr">
        <is>
          <t>준주거지역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136400</v>
      </c>
      <c r="G2039" s="4" t="n">
        <v>408</v>
      </c>
      <c r="H2039" s="4" t="n">
        <v>123</v>
      </c>
      <c r="I2039" s="5" t="n">
        <v>1108.9</v>
      </c>
      <c r="J2039" s="5" t="n">
        <v>624.1</v>
      </c>
      <c r="K2039" s="3" t="inlineStr">
        <is>
          <t>준주거지역 대지, 상가주택사옥 부지 최적</t>
        </is>
      </c>
      <c r="L2039" s="6">
        <f>HYPERLINK("https://fin.land.naver.com/articles/2654791916", "매물Link")</f>
        <v/>
      </c>
      <c r="M2039" s="6">
        <f>HYPERLINK("https://map.naver.com/p/search/오송읍 봉산리 1344", "지도Link")</f>
        <v/>
      </c>
      <c r="N2039" s="6">
        <f>HYPERLINK("http://www.eum.go.kr/web/ar/lu/luLandDet.jsp?pnu=4311325031113440000&amp;isNoScr=script&amp;mode=search", "토지이음")</f>
        <v/>
      </c>
      <c r="O2039" s="3" t="inlineStr">
        <is>
          <t>반석원무소</t>
        </is>
      </c>
      <c r="P2039" s="4" t="n">
        <v>1</v>
      </c>
      <c r="Q2039" s="4" t="n">
        <v>408.9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1375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30000</v>
      </c>
      <c r="G2040" s="4" t="n">
        <v>239</v>
      </c>
      <c r="H2040" s="4" t="n">
        <v>72</v>
      </c>
      <c r="I2040" s="5" t="n">
        <v>416.7</v>
      </c>
      <c r="J2040" s="5" t="n">
        <v>207.9</v>
      </c>
      <c r="K2040" s="3" t="inlineStr">
        <is>
          <t>nan</t>
        </is>
      </c>
      <c r="L2040" s="6">
        <f>HYPERLINK("https://fin.land.naver.com/articles/2652150259", "매물Link")</f>
        <v/>
      </c>
      <c r="M2040" s="6">
        <f>HYPERLINK("https://map.naver.com/p/search/오송읍 봉산리 1375", "지도Link")</f>
        <v/>
      </c>
      <c r="N2040" s="6">
        <f>HYPERLINK("http://www.eum.go.kr/web/ar/lu/luLandDet.jsp?pnu=4311325031113750000&amp;isNoScr=script&amp;mode=search", "토지이음")</f>
        <v/>
      </c>
      <c r="O2040" s="3" t="inlineStr">
        <is>
          <t>뉴스</t>
        </is>
      </c>
      <c r="P2040" s="4" t="n">
        <v>3</v>
      </c>
      <c r="Q2040" s="4" t="n">
        <v>239.5</v>
      </c>
      <c r="R2040" s="3" t="inlineStr">
        <is>
          <t>지정되지않음</t>
        </is>
      </c>
      <c r="S2040" s="3" t="inlineStr">
        <is>
          <t>주거기타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봉산리 1375</t>
        </is>
      </c>
      <c r="B2041" s="3" t="inlineStr">
        <is>
          <t>제1종일반주거지역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30000</v>
      </c>
      <c r="G2041" s="4" t="n">
        <v>239</v>
      </c>
      <c r="H2041" s="4" t="n">
        <v>72</v>
      </c>
      <c r="I2041" s="5" t="n">
        <v>416.7</v>
      </c>
      <c r="J2041" s="5" t="n">
        <v>207.9</v>
      </c>
      <c r="K2041" s="3" t="inlineStr">
        <is>
          <t>오송역세권개발및오송3국가산단조성본격화에따른지가상승기대</t>
        </is>
      </c>
      <c r="L2041" s="6">
        <f>HYPERLINK("https://fin.land.naver.com/articles/2653984111", "매물Link")</f>
        <v/>
      </c>
      <c r="M2041" s="6">
        <f>HYPERLINK("https://map.naver.com/p/search/오송읍 봉산리 1375", "지도Link")</f>
        <v/>
      </c>
      <c r="N2041" s="6">
        <f>HYPERLINK("http://www.eum.go.kr/web/ar/lu/luLandDet.jsp?pnu=4311325031113750000&amp;isNoScr=script&amp;mode=search", "토지이음")</f>
        <v/>
      </c>
      <c r="O2041" s="3" t="inlineStr">
        <is>
          <t>오송스타</t>
        </is>
      </c>
      <c r="P2041" s="4" t="n">
        <v>1</v>
      </c>
      <c r="Q2041" s="4" t="n">
        <v>239.5</v>
      </c>
      <c r="R2041" s="3" t="inlineStr">
        <is>
          <t>지정되지않음</t>
        </is>
      </c>
      <c r="S2041" s="3" t="inlineStr">
        <is>
          <t>주거기타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봉산리 1392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60000</v>
      </c>
      <c r="G2042" s="4" t="n">
        <v>246</v>
      </c>
      <c r="H2042" s="4" t="n">
        <v>74</v>
      </c>
      <c r="I2042" s="5" t="n">
        <v>810.8</v>
      </c>
      <c r="J2042" s="5" t="n">
        <v>250.2</v>
      </c>
      <c r="K2042" s="3" t="inlineStr">
        <is>
          <t>대로변 위치 좋은 코너 각지</t>
        </is>
      </c>
      <c r="L2042" s="6">
        <f>HYPERLINK("https://fin.land.naver.com/articles/2652529296", "매물Link")</f>
        <v/>
      </c>
      <c r="M2042" s="6">
        <f>HYPERLINK("https://map.naver.com/p/search/오송읍 봉산리 1392", "지도Link")</f>
        <v/>
      </c>
      <c r="N2042" s="6">
        <f>HYPERLINK("http://www.eum.go.kr/web/ar/lu/luLandDet.jsp?pnu=4311325031113920000&amp;isNoScr=script&amp;mode=search", "토지이음")</f>
        <v/>
      </c>
      <c r="O2042" s="3" t="inlineStr">
        <is>
          <t>광장</t>
        </is>
      </c>
      <c r="P2042" s="4" t="n">
        <v>1</v>
      </c>
      <c r="Q2042" s="4" t="n">
        <v>246.5</v>
      </c>
      <c r="R2042" s="3" t="inlineStr">
        <is>
          <t>지정되지않음</t>
        </is>
      </c>
      <c r="S2042" s="3" t="inlineStr">
        <is>
          <t>주상기타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소로각지</t>
        </is>
      </c>
    </row>
    <row r="2043">
      <c r="A2043" s="3" t="inlineStr">
        <is>
          <t>오송읍 봉산리 1415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42000</v>
      </c>
      <c r="G2043" s="4" t="n">
        <v>244</v>
      </c>
      <c r="H2043" s="4" t="n">
        <v>74</v>
      </c>
      <c r="I2043" s="5" t="n">
        <v>567.6</v>
      </c>
      <c r="J2043" s="5" t="n">
        <v>207.9</v>
      </c>
      <c r="K2043" s="3" t="inlineStr">
        <is>
          <t>오송2산단 상가 주택부지 입니다 남향</t>
        </is>
      </c>
      <c r="L2043" s="6">
        <f>HYPERLINK("https://fin.land.naver.com/articles/2654526332", "매물Link")</f>
        <v/>
      </c>
      <c r="M2043" s="6">
        <f>HYPERLINK("https://map.naver.com/p/search/오송읍 봉산리 1415", "지도Link")</f>
        <v/>
      </c>
      <c r="N2043" s="6">
        <f>HYPERLINK("http://www.eum.go.kr/web/ar/lu/luLandDet.jsp?pnu=4311325031114150000&amp;isNoScr=script&amp;mode=search", "토지이음")</f>
        <v/>
      </c>
      <c r="O2043" s="3" t="inlineStr">
        <is>
          <t>365</t>
        </is>
      </c>
      <c r="P2043" s="4" t="n">
        <v>1</v>
      </c>
      <c r="Q2043" s="4" t="n">
        <v>244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1419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45000</v>
      </c>
      <c r="G2044" s="4" t="n">
        <v>238</v>
      </c>
      <c r="H2044" s="4" t="n">
        <v>72</v>
      </c>
      <c r="I2044" s="5" t="n">
        <v>625</v>
      </c>
      <c r="J2044" s="5" t="n">
        <v>250.2</v>
      </c>
      <c r="K2044" s="3" t="inlineStr">
        <is>
          <t>오송2산단 다가구 건축 용도 삼면 각지 토지</t>
        </is>
      </c>
      <c r="L2044" s="6">
        <f>HYPERLINK("https://fin.land.naver.com/articles/2652705478", "매물Link")</f>
        <v/>
      </c>
      <c r="M2044" s="6">
        <f>HYPERLINK("https://map.naver.com/p/search/오송읍 봉산리 1419", "지도Link")</f>
        <v/>
      </c>
      <c r="N2044" s="6">
        <f>HYPERLINK("http://www.eum.go.kr/web/ar/lu/luLandDet.jsp?pnu=4311325031114190000&amp;isNoScr=script&amp;mode=search", "토지이음")</f>
        <v/>
      </c>
      <c r="O2044" s="3" t="inlineStr">
        <is>
          <t>365</t>
        </is>
      </c>
      <c r="P2044" s="4" t="n">
        <v>1</v>
      </c>
      <c r="Q2044" s="4" t="n">
        <v>238.1</v>
      </c>
      <c r="R2044" s="3" t="inlineStr">
        <is>
          <t>지정되지않음</t>
        </is>
      </c>
      <c r="S2044" s="3" t="inlineStr">
        <is>
          <t>주상기타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소로각지</t>
        </is>
      </c>
    </row>
    <row r="2045">
      <c r="A2045" s="3" t="inlineStr">
        <is>
          <t>오송읍 봉산리 796</t>
        </is>
      </c>
      <c r="B2045" s="3" t="inlineStr">
        <is>
          <t>제1종일반주거지역</t>
        </is>
      </c>
      <c r="C2045" s="3" t="inlineStr">
        <is>
          <t>주차장</t>
        </is>
      </c>
      <c r="D2045" s="3" t="inlineStr">
        <is>
          <t>주차장</t>
        </is>
      </c>
      <c r="E2045" s="3" t="inlineStr">
        <is>
          <t>매매</t>
        </is>
      </c>
      <c r="F2045" s="4" t="n">
        <v>150000</v>
      </c>
      <c r="G2045" s="4" t="n">
        <v>1039</v>
      </c>
      <c r="H2045" s="4" t="n">
        <v>314</v>
      </c>
      <c r="I2045" s="5" t="n">
        <v>477.7</v>
      </c>
      <c r="J2045" s="5" t="n">
        <v>207.4</v>
      </c>
      <c r="K2045" s="3" t="inlineStr">
        <is>
          <t>아파트 학교옆 인프라좋고 편의시설주변 주차장용지로 모든업종가능</t>
        </is>
      </c>
      <c r="L2045" s="6">
        <f>HYPERLINK("https://fin.land.naver.com/articles/2653291885", "매물Link")</f>
        <v/>
      </c>
      <c r="M2045" s="6">
        <f>HYPERLINK("https://map.naver.com/p/search/오송읍 봉산리 796", "지도Link")</f>
        <v/>
      </c>
      <c r="N2045" s="6">
        <f>HYPERLINK("http://www.eum.go.kr/web/ar/lu/luLandDet.jsp?pnu=4311325031107960000&amp;isNoScr=script&amp;mode=search", "토지이음")</f>
        <v/>
      </c>
      <c r="O2045" s="3" t="inlineStr">
        <is>
          <t>하림</t>
        </is>
      </c>
      <c r="P2045" s="4" t="n">
        <v>1</v>
      </c>
      <c r="Q2045" s="4" t="n">
        <v>1039.2</v>
      </c>
      <c r="R2045" s="3" t="inlineStr">
        <is>
          <t>지정되지않음</t>
        </is>
      </c>
      <c r="S2045" s="3" t="inlineStr">
        <is>
          <t>주차장등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중로각지</t>
        </is>
      </c>
    </row>
    <row r="2046">
      <c r="A2046" s="3" t="inlineStr">
        <is>
          <t>오송읍 봉산리 841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38000</v>
      </c>
      <c r="G2046" s="4" t="n">
        <v>249</v>
      </c>
      <c r="H2046" s="4" t="n">
        <v>75</v>
      </c>
      <c r="I2046" s="5" t="n">
        <v>506.7</v>
      </c>
      <c r="J2046" s="5" t="n">
        <v>342.8</v>
      </c>
      <c r="K2046" s="3" t="inlineStr">
        <is>
          <t>대도로변 토지,상가 입점하기 좋은 위치</t>
        </is>
      </c>
      <c r="L2046" s="6">
        <f>HYPERLINK("https://fin.land.naver.com/articles/2652140009", "매물Link")</f>
        <v/>
      </c>
      <c r="M2046" s="6">
        <f>HYPERLINK("https://map.naver.com/p/search/오송읍 봉산리 841", "지도Link")</f>
        <v/>
      </c>
      <c r="N2046" s="6">
        <f>HYPERLINK("http://www.eum.go.kr/web/ar/lu/luLandDet.jsp?pnu=4311325031108410000&amp;isNoScr=script&amp;mode=search", "토지이음")</f>
        <v/>
      </c>
      <c r="O2046" s="3" t="inlineStr">
        <is>
          <t>오송2단지창조</t>
        </is>
      </c>
      <c r="P2046" s="4" t="n">
        <v>1</v>
      </c>
      <c r="Q2046" s="4" t="n">
        <v>249.4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정방형</t>
        </is>
      </c>
      <c r="V2046" s="3" t="inlineStr">
        <is>
          <t>중로각지</t>
        </is>
      </c>
    </row>
    <row r="2047">
      <c r="A2047" s="3" t="inlineStr">
        <is>
          <t>오송읍 봉산리 853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45000</v>
      </c>
      <c r="G2047" s="4" t="n">
        <v>276</v>
      </c>
      <c r="H2047" s="4" t="n">
        <v>83</v>
      </c>
      <c r="I2047" s="5" t="n">
        <v>542.2</v>
      </c>
      <c r="J2047" s="5" t="n">
        <v>205.7</v>
      </c>
      <c r="K2047" s="3" t="inlineStr">
        <is>
          <t>솔미초 인근 다가구용 토지 매매</t>
        </is>
      </c>
      <c r="L2047" s="6">
        <f>HYPERLINK("https://fin.land.naver.com/articles/2655757570", "매물Link")</f>
        <v/>
      </c>
      <c r="M2047" s="6">
        <f>HYPERLINK("https://map.naver.com/p/search/오송읍 봉산리 853", "지도Link")</f>
        <v/>
      </c>
      <c r="N2047" s="6">
        <f>HYPERLINK("http://www.eum.go.kr/web/ar/lu/luLandDet.jsp?pnu=4311325031108530000&amp;isNoScr=script&amp;mode=search", "토지이음")</f>
        <v/>
      </c>
      <c r="O2047" s="3" t="inlineStr">
        <is>
          <t>광장</t>
        </is>
      </c>
      <c r="P2047" s="4" t="n">
        <v>1</v>
      </c>
      <c r="Q2047" s="4" t="n">
        <v>276.1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853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45000</v>
      </c>
      <c r="G2048" s="4" t="n">
        <v>276</v>
      </c>
      <c r="H2048" s="4" t="n">
        <v>83</v>
      </c>
      <c r="I2048" s="5" t="n">
        <v>542.2</v>
      </c>
      <c r="J2048" s="5" t="n">
        <v>205.7</v>
      </c>
      <c r="K2048" s="3" t="inlineStr">
        <is>
          <t>nan</t>
        </is>
      </c>
      <c r="L2048" s="6">
        <f>HYPERLINK("https://fin.land.naver.com/articles/2652690757", "매물Link")</f>
        <v/>
      </c>
      <c r="M2048" s="6">
        <f>HYPERLINK("https://map.naver.com/p/search/오송읍 봉산리 853", "지도Link")</f>
        <v/>
      </c>
      <c r="N2048" s="6">
        <f>HYPERLINK("http://www.eum.go.kr/web/ar/lu/luLandDet.jsp?pnu=4311325031108530000&amp;isNoScr=script&amp;mode=search", "토지이음")</f>
        <v/>
      </c>
      <c r="O2048" s="3" t="inlineStr">
        <is>
          <t>365</t>
        </is>
      </c>
      <c r="P2048" s="4" t="n">
        <v>1</v>
      </c>
      <c r="Q2048" s="4" t="n">
        <v>276.1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859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42000</v>
      </c>
      <c r="G2049" s="4" t="n">
        <v>280</v>
      </c>
      <c r="H2049" s="4" t="n">
        <v>85</v>
      </c>
      <c r="I2049" s="5" t="n">
        <v>494.1</v>
      </c>
      <c r="J2049" s="5" t="n">
        <v>205.7</v>
      </c>
      <c r="K2049" s="3" t="inlineStr">
        <is>
          <t>합리적인 금액으로 매수 할 수 있는 절호의 기회</t>
        </is>
      </c>
      <c r="L2049" s="6">
        <f>HYPERLINK("https://fin.land.naver.com/articles/2656404664", "매물Link")</f>
        <v/>
      </c>
      <c r="M2049" s="6">
        <f>HYPERLINK("https://map.naver.com/p/search/오송읍 봉산리 859", "지도Link")</f>
        <v/>
      </c>
      <c r="N2049" s="6">
        <f>HYPERLINK("http://www.eum.go.kr/web/ar/lu/luLandDet.jsp?pnu=4311325031108590000&amp;isNoScr=script&amp;mode=search", "토지이음")</f>
        <v/>
      </c>
      <c r="O2049" s="3" t="inlineStr">
        <is>
          <t>오송2단지창조</t>
        </is>
      </c>
      <c r="P2049" s="4" t="n">
        <v>2</v>
      </c>
      <c r="Q2049" s="4" t="n">
        <v>280</v>
      </c>
      <c r="R2049" s="3" t="inlineStr">
        <is>
          <t>지정되지않음</t>
        </is>
      </c>
      <c r="S2049" s="3" t="inlineStr">
        <is>
          <t>주거기타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소로한면</t>
        </is>
      </c>
    </row>
    <row r="2050">
      <c r="A2050" s="3" t="inlineStr">
        <is>
          <t>오송읍 봉산리 872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49000</v>
      </c>
      <c r="G2050" s="4" t="n">
        <v>271</v>
      </c>
      <c r="H2050" s="4" t="n">
        <v>82</v>
      </c>
      <c r="I2050" s="5" t="n">
        <v>597.6</v>
      </c>
      <c r="J2050" s="5" t="n">
        <v>236</v>
      </c>
      <c r="K2050" s="3" t="inlineStr">
        <is>
          <t>다가구주택용 대지, 임대세대 구성하기 좋은 면적</t>
        </is>
      </c>
      <c r="L2050" s="6">
        <f>HYPERLINK("https://fin.land.naver.com/articles/2651430081", "매물Link")</f>
        <v/>
      </c>
      <c r="M2050" s="6">
        <f>HYPERLINK("https://map.naver.com/p/search/오송읍 봉산리 872", "지도Link")</f>
        <v/>
      </c>
      <c r="N2050" s="6">
        <f>HYPERLINK("http://www.eum.go.kr/web/ar/lu/luLandDet.jsp?pnu=4311325031108720000&amp;isNoScr=script&amp;mode=search", "토지이음")</f>
        <v/>
      </c>
      <c r="O2050" s="3" t="inlineStr">
        <is>
          <t>광장</t>
        </is>
      </c>
      <c r="P2050" s="4" t="n">
        <v>1</v>
      </c>
      <c r="Q2050" s="4" t="n">
        <v>271.2</v>
      </c>
      <c r="R2050" s="3" t="inlineStr">
        <is>
          <t>지정되지않음</t>
        </is>
      </c>
      <c r="S2050" s="3" t="inlineStr">
        <is>
          <t>주상기타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872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</v>
      </c>
      <c r="G2051" s="4" t="n">
        <v>271</v>
      </c>
      <c r="H2051" s="4" t="n">
        <v>82</v>
      </c>
      <c r="I2051" s="5" t="n">
        <v>475.6</v>
      </c>
      <c r="J2051" s="5" t="n">
        <v>236</v>
      </c>
      <c r="K2051" s="3" t="inlineStr">
        <is>
          <t>수익율 좋은 다가구주택 건축하여 건물주님 되어보세요</t>
        </is>
      </c>
      <c r="L2051" s="6">
        <f>HYPERLINK("https://fin.land.naver.com/articles/2653487751", "매물Link")</f>
        <v/>
      </c>
      <c r="M2051" s="6">
        <f>HYPERLINK("https://map.naver.com/p/search/오송읍 봉산리 872", "지도Link")</f>
        <v/>
      </c>
      <c r="N2051" s="6">
        <f>HYPERLINK("http://www.eum.go.kr/web/ar/lu/luLandDet.jsp?pnu=4311325031108720000&amp;isNoScr=script&amp;mode=search",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271.2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봉산리 888</t>
        </is>
      </c>
      <c r="B2052" s="3" t="inlineStr">
        <is>
          <t>제1종일반주거지역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60000</v>
      </c>
      <c r="G2052" s="4" t="n">
        <v>252</v>
      </c>
      <c r="H2052" s="4" t="n">
        <v>76</v>
      </c>
      <c r="I2052" s="5" t="n">
        <v>789.5</v>
      </c>
      <c r="J2052" s="5" t="n">
        <v>291</v>
      </c>
      <c r="K2052" s="3" t="inlineStr">
        <is>
          <t>오송 철도국가산단 수혜 핵심 입지</t>
        </is>
      </c>
      <c r="L2052" s="6">
        <f>HYPERLINK("https://fin.land.naver.com/articles/2655160224", "매물Link")</f>
        <v/>
      </c>
      <c r="M2052" s="6">
        <f>HYPERLINK("https://map.naver.com/p/search/오송읍 봉산리 888", "지도Link")</f>
        <v/>
      </c>
      <c r="N2052" s="6">
        <f>HYPERLINK("http://www.eum.go.kr/web/ar/lu/luLandDet.jsp?pnu=4311325031108880000&amp;isNoScr=script&amp;mode=search", "토지이음")</f>
        <v/>
      </c>
      <c r="O2052" s="3" t="inlineStr">
        <is>
          <t>복덩이</t>
        </is>
      </c>
      <c r="P2052" s="4" t="n">
        <v>1</v>
      </c>
      <c r="Q2052" s="4" t="n">
        <v>252.1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중로각지</t>
        </is>
      </c>
    </row>
    <row r="2053">
      <c r="A2053" s="3" t="inlineStr">
        <is>
          <t>오송읍 봉산리 949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40000</v>
      </c>
      <c r="G2053" s="4" t="n">
        <v>271</v>
      </c>
      <c r="H2053" s="4" t="n">
        <v>82</v>
      </c>
      <c r="I2053" s="5" t="n">
        <v>487.8</v>
      </c>
      <c r="J2053" s="5" t="n">
        <v>236</v>
      </c>
      <c r="K2053" s="3" t="inlineStr">
        <is>
          <t>수익율 좋은 다가구주택 건축하여 건물주님 되어보기</t>
        </is>
      </c>
      <c r="L2053" s="6">
        <f>HYPERLINK("https://fin.land.naver.com/articles/2653257663", "매물Link")</f>
        <v/>
      </c>
      <c r="M2053" s="6">
        <f>HYPERLINK("https://map.naver.com/p/search/오송읍 봉산리 949", "지도Link")</f>
        <v/>
      </c>
      <c r="N2053" s="6">
        <f>HYPERLINK("http://www.eum.go.kr/web/ar/lu/luLandDet.jsp?pnu=4311325031109490000&amp;isNoScr=script&amp;mode=search", "토지이음")</f>
        <v/>
      </c>
      <c r="O2053" s="3" t="inlineStr">
        <is>
          <t>프로</t>
        </is>
      </c>
      <c r="P2053" s="4" t="n">
        <v>2</v>
      </c>
      <c r="Q2053" s="4" t="n">
        <v>271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봉산리 954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55000</v>
      </c>
      <c r="G2054" s="4" t="n">
        <v>265</v>
      </c>
      <c r="H2054" s="4" t="n">
        <v>80</v>
      </c>
      <c r="I2054" s="5" t="n">
        <v>687.5</v>
      </c>
      <c r="J2054" s="5" t="n">
        <v>257.5</v>
      </c>
      <c r="K2054" s="3" t="inlineStr">
        <is>
          <t>위치좋은 코너땅 입니다</t>
        </is>
      </c>
      <c r="L2054" s="6">
        <f>HYPERLINK("https://fin.land.naver.com/articles/2652109103", "매물Link")</f>
        <v/>
      </c>
      <c r="M2054" s="6">
        <f>HYPERLINK("https://map.naver.com/p/search/오송읍 봉산리 954", "지도Link")</f>
        <v/>
      </c>
      <c r="N2054" s="6">
        <f>HYPERLINK("http://www.eum.go.kr/web/ar/lu/luLandDet.jsp?pnu=4311325031109540000&amp;isNoScr=script&amp;mode=search", "토지이음")</f>
        <v/>
      </c>
      <c r="O2054" s="3" t="inlineStr">
        <is>
          <t>오송2단지창조</t>
        </is>
      </c>
      <c r="P2054" s="4" t="n">
        <v>1</v>
      </c>
      <c r="Q2054" s="4" t="n">
        <v>265.3</v>
      </c>
      <c r="R2054" s="3" t="inlineStr">
        <is>
          <t>지정되지않음</t>
        </is>
      </c>
      <c r="S2054" s="3" t="inlineStr">
        <is>
          <t>주상기타</t>
        </is>
      </c>
      <c r="T2054" s="3" t="inlineStr">
        <is>
          <t>평지</t>
        </is>
      </c>
      <c r="U2054" s="3" t="inlineStr">
        <is>
          <t>가로장방</t>
        </is>
      </c>
      <c r="V2054" s="3" t="inlineStr">
        <is>
          <t>소로각지</t>
        </is>
      </c>
    </row>
    <row r="2055">
      <c r="A2055" s="3" t="inlineStr">
        <is>
          <t>오송읍 봉산리 978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353000</v>
      </c>
      <c r="G2055" s="4" t="n">
        <v>1295</v>
      </c>
      <c r="H2055" s="4" t="n">
        <v>392</v>
      </c>
      <c r="I2055" s="5" t="n">
        <v>900.5</v>
      </c>
      <c r="J2055" s="5" t="n">
        <v>585.5</v>
      </c>
      <c r="K2055" s="3" t="inlineStr">
        <is>
          <t>오송읍 봉산리 상업용지 매매</t>
        </is>
      </c>
      <c r="L2055" s="6">
        <f>HYPERLINK("https://fin.land.naver.com/articles/2656179976", "매물Link")</f>
        <v/>
      </c>
      <c r="M2055" s="6">
        <f>HYPERLINK("https://map.naver.com/p/search/오송읍 봉산리 978", "지도Link")</f>
        <v/>
      </c>
      <c r="N2055" s="6">
        <f>HYPERLINK("http://www.eum.go.kr/web/ar/lu/luLandDet.jsp?pnu=4311325031109780000&amp;isNoScr=script&amp;mode=search", "토지이음")</f>
        <v/>
      </c>
      <c r="O2055" s="3" t="inlineStr">
        <is>
          <t>일등</t>
        </is>
      </c>
      <c r="P2055" s="4" t="n">
        <v>1</v>
      </c>
      <c r="Q2055" s="4" t="n">
        <v>1295.6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중로각지</t>
        </is>
      </c>
    </row>
    <row r="2056">
      <c r="A2056" s="3" t="inlineStr">
        <is>
          <t>오송읍 상봉리 114-3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25000</v>
      </c>
      <c r="G2056" s="4" t="n">
        <v>602</v>
      </c>
      <c r="H2056" s="4" t="n">
        <v>182</v>
      </c>
      <c r="I2056" s="5" t="n">
        <v>137.4</v>
      </c>
      <c r="J2056" s="5" t="n">
        <v>48.7</v>
      </c>
      <c r="K2056" s="3" t="inlineStr">
        <is>
          <t>오송읍 전원주택지 매매</t>
        </is>
      </c>
      <c r="L2056" s="6">
        <f>HYPERLINK("https://fin.land.naver.com/articles/2654267342", "매물Link")</f>
        <v/>
      </c>
      <c r="M2056" s="6">
        <f>HYPERLINK("https://map.naver.com/p/search/오송읍 상봉리 114-3", "지도Link")</f>
        <v/>
      </c>
      <c r="N2056" s="6">
        <f>HYPERLINK("http://www.eum.go.kr/web/ar/lu/luLandDet.jsp?pnu=4311325033101140003&amp;isNoScr=script&amp;mode=search", "토지이음")</f>
        <v/>
      </c>
      <c r="O2056" s="3" t="inlineStr">
        <is>
          <t>학사</t>
        </is>
      </c>
      <c r="P2056" s="4" t="n">
        <v>1</v>
      </c>
      <c r="Q2056" s="4" t="n">
        <v>602</v>
      </c>
      <c r="R2056" s="3" t="inlineStr">
        <is>
          <t>지정되지않음</t>
        </is>
      </c>
      <c r="S2056" s="3" t="inlineStr">
        <is>
          <t>주거나지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상봉리 240-4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200000</v>
      </c>
      <c r="G2057" s="4" t="n">
        <v>1896</v>
      </c>
      <c r="H2057" s="4" t="n">
        <v>574</v>
      </c>
      <c r="I2057" s="5" t="n">
        <v>348.4</v>
      </c>
      <c r="J2057" s="5" t="n">
        <v>45</v>
      </c>
      <c r="K2057" s="3" t="inlineStr">
        <is>
          <t>2차선도로 및 3면이 포장도로에 접한 직사각형 모양의 계획관리지역의 전</t>
        </is>
      </c>
      <c r="L2057" s="6">
        <f>HYPERLINK("https://fin.land.naver.com/articles/2652183903", "매물Link")</f>
        <v/>
      </c>
      <c r="M2057" s="6">
        <f>HYPERLINK("https://map.naver.com/p/search/오송읍 상봉리 240-4", "지도Link")</f>
        <v/>
      </c>
      <c r="N2057" s="6">
        <f>HYPERLINK("http://www.eum.go.kr/web/ar/lu/luLandDet.jsp?pnu=4311325033102400004&amp;isNoScr=script&amp;mode=search",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1896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소로한면</t>
        </is>
      </c>
    </row>
    <row r="2058">
      <c r="A2058" s="3" t="inlineStr">
        <is>
          <t>오송읍 상봉리 313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40000</v>
      </c>
      <c r="G2058" s="4" t="n">
        <v>2615</v>
      </c>
      <c r="H2058" s="4" t="n">
        <v>791</v>
      </c>
      <c r="I2058" s="5" t="n">
        <v>50.6</v>
      </c>
      <c r="J2058" s="5" t="n">
        <v>10</v>
      </c>
      <c r="K2058" s="3" t="inlineStr">
        <is>
          <t>세종시 경계부근에 위치 전원주택 주말농지 추천</t>
        </is>
      </c>
      <c r="L2058" s="6">
        <f>HYPERLINK("https://fin.land.naver.com/articles/2652553807", "매물Link")</f>
        <v/>
      </c>
      <c r="M2058" s="6">
        <f>HYPERLINK("https://map.naver.com/p/search/오송읍 상봉리 313", "지도Link")</f>
        <v/>
      </c>
      <c r="N2058" s="6">
        <f>HYPERLINK("http://www.eum.go.kr/web/ar/lu/luLandDet.jsp?pnu=4311325033103130000&amp;isNoScr=script&amp;mode=search", "토지이음")</f>
        <v/>
      </c>
      <c r="O2058" s="3" t="inlineStr">
        <is>
          <t>복수지구</t>
        </is>
      </c>
      <c r="P2058" s="4" t="n">
        <v>1</v>
      </c>
      <c r="Q2058" s="4" t="n">
        <v>2615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완경사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상봉리 359-3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25000</v>
      </c>
      <c r="G2059" s="4" t="n">
        <v>2008</v>
      </c>
      <c r="H2059" s="4" t="n">
        <v>607</v>
      </c>
      <c r="I2059" s="5" t="n">
        <v>41.2</v>
      </c>
      <c r="J2059" s="5" t="n">
        <v>21.5</v>
      </c>
      <c r="K2059" s="3" t="inlineStr">
        <is>
          <t>밴처밸리,오송2산단 차량3분 대토 과수원 농가주택 창고등 추천</t>
        </is>
      </c>
      <c r="L2059" s="6">
        <f>HYPERLINK("https://fin.land.naver.com/articles/2655744181", "매물Link")</f>
        <v/>
      </c>
      <c r="M2059" s="6">
        <f>HYPERLINK("https://map.naver.com/p/search/오송읍 상봉리 359-3", "지도Link")</f>
        <v/>
      </c>
      <c r="N2059" s="6">
        <f>HYPERLINK("http://www.eum.go.kr/web/ar/lu/luLandDet.jsp?pnu=4311325033103590003&amp;isNoScr=script&amp;mode=search", "토지이음")</f>
        <v/>
      </c>
      <c r="O2059" s="3" t="inlineStr">
        <is>
          <t>신안무소</t>
        </is>
      </c>
      <c r="P2059" s="4" t="n">
        <v>1</v>
      </c>
      <c r="Q2059" s="4" t="n">
        <v>2008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세로각지(가)</t>
        </is>
      </c>
    </row>
    <row r="2060">
      <c r="A2060" s="3" t="inlineStr">
        <is>
          <t>오송읍 상봉리 415-1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26000</v>
      </c>
      <c r="G2060" s="4" t="n">
        <v>1230</v>
      </c>
      <c r="H2060" s="4" t="n">
        <v>372</v>
      </c>
      <c r="I2060" s="5" t="n">
        <v>69.90000000000001</v>
      </c>
      <c r="J2060" s="5" t="n">
        <v>22</v>
      </c>
      <c r="K2060" s="3" t="inlineStr">
        <is>
          <t>매가 조정하여 매2.6억원 오송 산단주변 농림지역 매매</t>
        </is>
      </c>
      <c r="L2060" s="6">
        <f>HYPERLINK("https://fin.land.naver.com/articles/2651395740", "매물Link")</f>
        <v/>
      </c>
      <c r="M2060" s="6">
        <f>HYPERLINK("https://map.naver.com/p/search/오송읍 상봉리 415-1", "지도Link")</f>
        <v/>
      </c>
      <c r="N2060" s="6">
        <f>HYPERLINK("http://www.eum.go.kr/web/ar/lu/luLandDet.jsp?pnu=4311325033104150001&amp;isNoScr=script&amp;mode=search", "토지이음")</f>
        <v/>
      </c>
      <c r="O2060" s="3" t="inlineStr">
        <is>
          <t>로데오상가</t>
        </is>
      </c>
      <c r="P2060" s="4" t="n">
        <v>1</v>
      </c>
      <c r="Q2060" s="4" t="n">
        <v>1230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세로한면(가)</t>
        </is>
      </c>
    </row>
    <row r="2061">
      <c r="A2061" s="3" t="inlineStr">
        <is>
          <t>오송읍 상봉리 415-1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26000</v>
      </c>
      <c r="G2061" s="4" t="n">
        <v>1230</v>
      </c>
      <c r="H2061" s="4" t="n">
        <v>372</v>
      </c>
      <c r="I2061" s="5" t="n">
        <v>69.90000000000001</v>
      </c>
      <c r="J2061" s="5" t="n">
        <v>22</v>
      </c>
      <c r="K2061" s="3" t="inlineStr">
        <is>
          <t>농림지역, 도로접함, 영농 및 농가주택 가능</t>
        </is>
      </c>
      <c r="L2061" s="6">
        <f>HYPERLINK("https://fin.land.naver.com/articles/2655847653", "매물Link")</f>
        <v/>
      </c>
      <c r="M2061" s="6">
        <f>HYPERLINK("https://map.naver.com/p/search/오송읍 상봉리 415-1", "지도Link")</f>
        <v/>
      </c>
      <c r="N2061" s="6">
        <f>HYPERLINK("http://www.eum.go.kr/web/ar/lu/luLandDet.jsp?pnu=4311325033104150001&amp;isNoScr=script&amp;mode=search", "토지이음")</f>
        <v/>
      </c>
      <c r="O2061" s="3" t="inlineStr">
        <is>
          <t>세종나라</t>
        </is>
      </c>
      <c r="P2061" s="4" t="n">
        <v>9</v>
      </c>
      <c r="Q2061" s="4" t="n">
        <v>1230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상봉리 98-15</t>
        </is>
      </c>
      <c r="B2062" s="3" t="inlineStr">
        <is>
          <t>생산관리지역</t>
        </is>
      </c>
      <c r="C2062" s="3" t="inlineStr">
        <is>
          <t>답</t>
        </is>
      </c>
      <c r="D2062" s="3" t="inlineStr">
        <is>
          <t>답</t>
        </is>
      </c>
      <c r="E2062" s="3" t="inlineStr">
        <is>
          <t>매매</t>
        </is>
      </c>
      <c r="F2062" s="4" t="n">
        <v>35500</v>
      </c>
      <c r="G2062" s="4" t="n">
        <v>1468</v>
      </c>
      <c r="H2062" s="4" t="n">
        <v>444</v>
      </c>
      <c r="I2062" s="5" t="n">
        <v>80</v>
      </c>
      <c r="J2062" s="5" t="n">
        <v>26.4</v>
      </c>
      <c r="K2062" s="3" t="inlineStr">
        <is>
          <t>신축, 경작, 투자하기 좋은 토지</t>
        </is>
      </c>
      <c r="L2062" s="6">
        <f>HYPERLINK("https://fin.land.naver.com/articles/2656201613", "매물Link")</f>
        <v/>
      </c>
      <c r="M2062" s="6">
        <f>HYPERLINK("https://map.naver.com/p/search/오송읍 상봉리 98-15", "지도Link")</f>
        <v/>
      </c>
      <c r="N2062" s="6">
        <f>HYPERLINK("http://www.eum.go.kr/web/ar/lu/luLandDet.jsp?pnu=4311325033100980015&amp;isNoScr=script&amp;mode=search", "토지이음")</f>
        <v/>
      </c>
      <c r="O2062" s="3" t="inlineStr">
        <is>
          <t>학정</t>
        </is>
      </c>
      <c r="P2062" s="4" t="n">
        <v>1</v>
      </c>
      <c r="Q2062" s="4" t="n">
        <v>1468</v>
      </c>
      <c r="R2062" s="3" t="inlineStr">
        <is>
          <t>지정되지않음</t>
        </is>
      </c>
      <c r="S2062" s="3" t="inlineStr">
        <is>
          <t>답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상봉리 산49-1</t>
        </is>
      </c>
      <c r="B2063" s="3" t="inlineStr">
        <is>
          <t>농림지역</t>
        </is>
      </c>
      <c r="C2063" s="3" t="inlineStr">
        <is>
          <t>임야</t>
        </is>
      </c>
      <c r="D2063" s="3" t="inlineStr">
        <is>
          <t>임야</t>
        </is>
      </c>
      <c r="E2063" s="3" t="inlineStr">
        <is>
          <t>매매</t>
        </is>
      </c>
      <c r="F2063" s="4" t="n">
        <v>22000</v>
      </c>
      <c r="G2063" s="4" t="n">
        <v>29256</v>
      </c>
      <c r="H2063" s="4" t="n">
        <v>8850</v>
      </c>
      <c r="I2063" s="5" t="n">
        <v>2.5</v>
      </c>
      <c r="J2063" s="5" t="n">
        <v>2.4</v>
      </c>
      <c r="K2063" s="3" t="inlineStr">
        <is>
          <t>충북 청주 오송읍 상봉리 임야 매매</t>
        </is>
      </c>
      <c r="L2063" s="6">
        <f>HYPERLINK("https://fin.land.naver.com/articles/2652514401", "매물Link")</f>
        <v/>
      </c>
      <c r="M2063" s="6">
        <f>HYPERLINK("https://map.naver.com/p/search/오송읍 상봉리 산49-1", "지도Link")</f>
        <v/>
      </c>
      <c r="N2063" s="6">
        <f>HYPERLINK("http://www.eum.go.kr/web/ar/lu/luLandDet.jsp?pnu=4311325033200490001&amp;isNoScr=script&amp;mode=search", "토지이음")</f>
        <v/>
      </c>
      <c r="O2063" s="3" t="inlineStr">
        <is>
          <t>리더</t>
        </is>
      </c>
      <c r="P2063" s="4" t="n">
        <v>1</v>
      </c>
      <c r="Q2063" s="4" t="n">
        <v>29256</v>
      </c>
      <c r="R2063" s="3" t="inlineStr">
        <is>
          <t>생산관리지역</t>
        </is>
      </c>
      <c r="S2063" s="3" t="inlineStr">
        <is>
          <t>자연림</t>
        </is>
      </c>
      <c r="T2063" s="3" t="inlineStr">
        <is>
          <t>완경사</t>
        </is>
      </c>
      <c r="U2063" s="3" t="inlineStr">
        <is>
          <t>부정형</t>
        </is>
      </c>
      <c r="V2063" s="3" t="inlineStr">
        <is>
          <t>맹지</t>
        </is>
      </c>
    </row>
    <row r="2064">
      <c r="A2064" s="3" t="inlineStr">
        <is>
          <t>오송읍 상정리 149-1</t>
        </is>
      </c>
      <c r="B2064" s="3" t="inlineStr">
        <is>
          <t>농림지역</t>
        </is>
      </c>
      <c r="C2064" s="3" t="inlineStr">
        <is>
          <t>창고용지</t>
        </is>
      </c>
      <c r="D2064" s="3" t="inlineStr">
        <is>
          <t>창고용지</t>
        </is>
      </c>
      <c r="E2064" s="3" t="inlineStr">
        <is>
          <t>매매</t>
        </is>
      </c>
      <c r="F2064" s="4" t="n">
        <v>91000</v>
      </c>
      <c r="G2064" s="4" t="n">
        <v>3028</v>
      </c>
      <c r="H2064" s="4" t="n">
        <v>916</v>
      </c>
      <c r="I2064" s="5" t="n">
        <v>99.3</v>
      </c>
      <c r="J2064" s="5" t="n">
        <v>27.4</v>
      </c>
      <c r="K2064" s="3" t="inlineStr">
        <is>
          <t>성토된 창고 용지와 창고용지와 답 매도</t>
        </is>
      </c>
      <c r="L2064" s="6">
        <f>HYPERLINK("https://fin.land.naver.com/articles/2651744349", "매물Link")</f>
        <v/>
      </c>
      <c r="M2064" s="6">
        <f>HYPERLINK("https://map.naver.com/p/search/오송읍 상정리 149-1", "지도Link")</f>
        <v/>
      </c>
      <c r="N2064" s="6">
        <f>HYPERLINK("http://www.eum.go.kr/web/ar/lu/luLandDet.jsp?pnu=4311325022101490001&amp;isNoScr=script&amp;mode=search", "토지이음")</f>
        <v/>
      </c>
      <c r="O2064" s="3" t="inlineStr">
        <is>
          <t>현담</t>
        </is>
      </c>
      <c r="P2064" s="4" t="n">
        <v>1</v>
      </c>
      <c r="Q2064" s="4" t="n">
        <v>660</v>
      </c>
      <c r="R2064" s="3" t="inlineStr">
        <is>
          <t>지정되지않음</t>
        </is>
      </c>
      <c r="S2064" s="3" t="inlineStr">
        <is>
          <t>답창고</t>
        </is>
      </c>
      <c r="T2064" s="3" t="inlineStr">
        <is>
          <t>평지</t>
        </is>
      </c>
      <c r="U2064" s="3" t="inlineStr">
        <is>
          <t>정방형</t>
        </is>
      </c>
      <c r="V2064" s="3" t="inlineStr">
        <is>
          <t>세로한면(가)</t>
        </is>
      </c>
    </row>
    <row r="2065">
      <c r="A2065" s="3" t="inlineStr">
        <is>
          <t>오송읍 상정리 149-3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90000</v>
      </c>
      <c r="G2065" s="4" t="n">
        <v>3028</v>
      </c>
      <c r="H2065" s="4" t="n">
        <v>916</v>
      </c>
      <c r="I2065" s="5" t="n">
        <v>98.3</v>
      </c>
      <c r="J2065" s="5" t="n">
        <v>23</v>
      </c>
      <c r="K2065" s="3" t="inlineStr">
        <is>
          <t>현재 대지660m2, 창고128m2 임대중, 대토,투자추천</t>
        </is>
      </c>
      <c r="L2065" s="6">
        <f>HYPERLINK("https://fin.land.naver.com/articles/2651061331", "매물Link")</f>
        <v/>
      </c>
      <c r="M2065" s="6">
        <f>HYPERLINK("https://map.naver.com/p/search/오송읍 상정리 149-3", "지도Link")</f>
        <v/>
      </c>
      <c r="N2065" s="6">
        <f>HYPERLINK("http://www.eum.go.kr/web/ar/lu/luLandDet.jsp?pnu=4311325022101490003&amp;isNoScr=script&amp;mode=search", "토지이음")</f>
        <v/>
      </c>
      <c r="O2065" s="3" t="inlineStr">
        <is>
          <t>플러스자이합동</t>
        </is>
      </c>
      <c r="P2065" s="4" t="n">
        <v>1</v>
      </c>
      <c r="Q2065" s="4" t="n">
        <v>2368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상정리 174-7</t>
        </is>
      </c>
      <c r="B2066" s="3" t="inlineStr">
        <is>
          <t>계획관리지역</t>
        </is>
      </c>
      <c r="C2066" s="3" t="inlineStr">
        <is>
          <t>전</t>
        </is>
      </c>
      <c r="D2066" s="3" t="inlineStr">
        <is>
          <t>전</t>
        </is>
      </c>
      <c r="E2066" s="3" t="inlineStr">
        <is>
          <t>매매</t>
        </is>
      </c>
      <c r="F2066" s="4" t="n">
        <v>80000</v>
      </c>
      <c r="G2066" s="4" t="n">
        <v>982</v>
      </c>
      <c r="H2066" s="4" t="n">
        <v>297</v>
      </c>
      <c r="I2066" s="5" t="n">
        <v>269.4</v>
      </c>
      <c r="J2066" s="5" t="n">
        <v>43.7</v>
      </c>
      <c r="K2066" s="3" t="inlineStr">
        <is>
          <t>순이네 보리밥 진입로 좌측 직사각형의 용도다양한 토지매매</t>
        </is>
      </c>
      <c r="L2066" s="6">
        <f>HYPERLINK("https://fin.land.naver.com/articles/2652102937", "매물Link")</f>
        <v/>
      </c>
      <c r="M2066" s="6">
        <f>HYPERLINK("https://map.naver.com/p/search/오송읍 상정리 174-7", "지도Link")</f>
        <v/>
      </c>
      <c r="N2066" s="6">
        <f>HYPERLINK("http://www.eum.go.kr/web/ar/lu/luLandDet.jsp?pnu=4311325022101740007&amp;isNoScr=script&amp;mode=search",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982</v>
      </c>
      <c r="R2066" s="3" t="inlineStr">
        <is>
          <t>지정되지않음</t>
        </is>
      </c>
      <c r="S2066" s="3" t="inlineStr">
        <is>
          <t>전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소로한면</t>
        </is>
      </c>
    </row>
    <row r="2067">
      <c r="A2067" s="3" t="inlineStr">
        <is>
          <t>오송읍 상정리 189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130000</v>
      </c>
      <c r="G2067" s="4" t="n">
        <v>1413</v>
      </c>
      <c r="H2067" s="4" t="n">
        <v>427</v>
      </c>
      <c r="I2067" s="5" t="n">
        <v>304.4</v>
      </c>
      <c r="J2067" s="5" t="n">
        <v>84.3</v>
      </c>
      <c r="K2067" s="3" t="inlineStr">
        <is>
          <t>오송읍 2차선 도로접한 계획관리 토지매매</t>
        </is>
      </c>
      <c r="L2067" s="6">
        <f>HYPERLINK("https://fin.land.naver.com/articles/2653388615", "매물Link")</f>
        <v/>
      </c>
      <c r="M2067" s="6">
        <f>HYPERLINK("https://map.naver.com/p/search/오송읍 상정리 189", "지도Link")</f>
        <v/>
      </c>
      <c r="N2067" s="6">
        <f>HYPERLINK("http://www.eum.go.kr/web/ar/lu/luLandDet.jsp?pnu=4311325022101890000&amp;isNoScr=script&amp;mode=search",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733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자루형</t>
        </is>
      </c>
      <c r="V2067" s="3" t="inlineStr">
        <is>
          <t>소로한면</t>
        </is>
      </c>
    </row>
    <row r="2068">
      <c r="A2068" s="3" t="inlineStr">
        <is>
          <t>오송읍 상정리 191-4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24600</v>
      </c>
      <c r="G2068" s="4" t="n">
        <v>367</v>
      </c>
      <c r="H2068" s="4" t="n">
        <v>111</v>
      </c>
      <c r="I2068" s="5" t="n">
        <v>221.6</v>
      </c>
      <c r="J2068" s="5" t="n">
        <v>83.59999999999999</v>
      </c>
      <c r="K2068" s="3" t="inlineStr">
        <is>
          <t>오송 1산단 생명과학단지 인근, 도로 옆, 건축가능, 투자가치 있음</t>
        </is>
      </c>
      <c r="L2068" s="6">
        <f>HYPERLINK("https://fin.land.naver.com/articles/2651744309", "매물Link")</f>
        <v/>
      </c>
      <c r="M2068" s="6">
        <f>HYPERLINK("https://map.naver.com/p/search/오송읍 상정리 191-4", "지도Link")</f>
        <v/>
      </c>
      <c r="N2068" s="6">
        <f>HYPERLINK("http://www.eum.go.kr/web/ar/lu/luLandDet.jsp?pnu=4311325022101910004&amp;isNoScr=script&amp;mode=search", "토지이음")</f>
        <v/>
      </c>
      <c r="O2068" s="3" t="inlineStr">
        <is>
          <t>현담</t>
        </is>
      </c>
      <c r="P2068" s="4" t="n">
        <v>1</v>
      </c>
      <c r="Q2068" s="4" t="n">
        <v>367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상정리 191-7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86000</v>
      </c>
      <c r="G2069" s="4" t="n">
        <v>1011</v>
      </c>
      <c r="H2069" s="4" t="n">
        <v>306</v>
      </c>
      <c r="I2069" s="5" t="n">
        <v>281</v>
      </c>
      <c r="J2069" s="5" t="n">
        <v>83.59999999999999</v>
      </c>
      <c r="K2069" s="3" t="inlineStr">
        <is>
          <t>2차선 지방도 인접한 계획관리지역의 토지로 근생가능용지</t>
        </is>
      </c>
      <c r="L2069" s="6">
        <f>HYPERLINK("https://fin.land.naver.com/articles/2656447392", "매물Link")</f>
        <v/>
      </c>
      <c r="M2069" s="6">
        <f>HYPERLINK("https://map.naver.com/p/search/오송읍 상정리 191-7", "지도Link")</f>
        <v/>
      </c>
      <c r="N2069" s="6">
        <f>HYPERLINK("http://www.eum.go.kr/web/ar/lu/luLandDet.jsp?pnu=4311325022101910007&amp;isNoScr=script&amp;mode=search", "토지이음")</f>
        <v/>
      </c>
      <c r="O2069" s="3" t="inlineStr">
        <is>
          <t>오송k랜드</t>
        </is>
      </c>
      <c r="P2069" s="4" t="n">
        <v>1</v>
      </c>
      <c r="Q2069" s="4" t="n">
        <v>1011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상정리 206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132000</v>
      </c>
      <c r="G2070" s="4" t="n">
        <v>1987</v>
      </c>
      <c r="H2070" s="4" t="n">
        <v>601</v>
      </c>
      <c r="I2070" s="5" t="n">
        <v>219.6</v>
      </c>
      <c r="J2070" s="5" t="n">
        <v>36</v>
      </c>
      <c r="K2070" s="3" t="inlineStr">
        <is>
          <t>오송 계확관리지역, 지하수 관정, 전기, 농막 포함</t>
        </is>
      </c>
      <c r="L2070" s="6">
        <f>HYPERLINK("https://fin.land.naver.com/articles/2656117569", "매물Link")</f>
        <v/>
      </c>
      <c r="M2070" s="6">
        <f>HYPERLINK("https://map.naver.com/p/search/오송읍 상정리 206", "지도Link")</f>
        <v/>
      </c>
      <c r="N2070" s="6">
        <f>HYPERLINK("http://www.eum.go.kr/web/ar/lu/luLandDet.jsp?pnu=4311325022102060000&amp;isNoScr=script&amp;mode=search", "토지이음")</f>
        <v/>
      </c>
      <c r="O2070" s="3" t="inlineStr">
        <is>
          <t>지웰선우</t>
        </is>
      </c>
      <c r="P2070" s="4" t="n">
        <v>1</v>
      </c>
      <c r="Q2070" s="4" t="n">
        <v>1987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소로한면</t>
        </is>
      </c>
    </row>
    <row r="2071">
      <c r="A2071" s="3" t="inlineStr">
        <is>
          <t>오송읍 상정리 261</t>
        </is>
      </c>
      <c r="B2071" s="3" t="inlineStr">
        <is>
          <t>농림지역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27000</v>
      </c>
      <c r="G2071" s="4" t="n">
        <v>1083</v>
      </c>
      <c r="H2071" s="4" t="n">
        <v>328</v>
      </c>
      <c r="I2071" s="5" t="n">
        <v>82.3</v>
      </c>
      <c r="J2071" s="5" t="n">
        <v>23.3</v>
      </c>
      <c r="K2071" s="3" t="inlineStr">
        <is>
          <t>농림지역</t>
        </is>
      </c>
      <c r="L2071" s="6">
        <f>HYPERLINK("https://fin.land.naver.com/articles/2654093040", "매물Link")</f>
        <v/>
      </c>
      <c r="M2071" s="6">
        <f>HYPERLINK("https://map.naver.com/p/search/오송읍 상정리 261", "지도Link")</f>
        <v/>
      </c>
      <c r="N2071" s="6">
        <f>HYPERLINK("http://www.eum.go.kr/web/ar/lu/luLandDet.jsp?pnu=4311325022102610000&amp;isNoScr=script&amp;mode=search", "토지이음")</f>
        <v/>
      </c>
      <c r="O2071" s="3" t="inlineStr">
        <is>
          <t>수풀림</t>
        </is>
      </c>
      <c r="P2071" s="4" t="n">
        <v>1</v>
      </c>
      <c r="Q2071" s="4" t="n">
        <v>1083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가로장방</t>
        </is>
      </c>
      <c r="V2071" s="3" t="inlineStr">
        <is>
          <t>세로한면(가)</t>
        </is>
      </c>
    </row>
    <row r="2072">
      <c r="A2072" s="3" t="inlineStr">
        <is>
          <t>오송읍 상정리 306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42000</v>
      </c>
      <c r="G2072" s="4" t="n">
        <v>1714</v>
      </c>
      <c r="H2072" s="4" t="n">
        <v>518</v>
      </c>
      <c r="I2072" s="5" t="n">
        <v>81.09999999999999</v>
      </c>
      <c r="J2072" s="5" t="n">
        <v>26.1</v>
      </c>
      <c r="K2072" s="3" t="inlineStr">
        <is>
          <t>농림지역 대토권 최적의 입지 농가 주택 가능한 토지 투자가치 뿜뿜</t>
        </is>
      </c>
      <c r="L2072" s="6">
        <f>HYPERLINK("https://fin.land.naver.com/articles/2654653039", "매물Link")</f>
        <v/>
      </c>
      <c r="M2072" s="6">
        <f>HYPERLINK("https://map.naver.com/p/search/오송읍 상정리 306", "지도Link")</f>
        <v/>
      </c>
      <c r="N2072" s="6">
        <f>HYPERLINK("http://www.eum.go.kr/web/ar/lu/luLandDet.jsp?pnu=4311325022103060000&amp;isNoScr=script&amp;mode=search", "토지이음")</f>
        <v/>
      </c>
      <c r="O2072" s="3" t="inlineStr">
        <is>
          <t>오송퍼스트영웅</t>
        </is>
      </c>
      <c r="P2072" s="4" t="n">
        <v>1</v>
      </c>
      <c r="Q2072" s="4" t="n">
        <v>1714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세로한면(불)</t>
        </is>
      </c>
    </row>
    <row r="2073">
      <c r="A2073" s="3" t="inlineStr">
        <is>
          <t>오송읍 상정리 337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138000</v>
      </c>
      <c r="G2073" s="4" t="n">
        <v>2849</v>
      </c>
      <c r="H2073" s="4" t="n">
        <v>862</v>
      </c>
      <c r="I2073" s="5" t="n">
        <v>160.1</v>
      </c>
      <c r="J2073" s="5" t="n">
        <v>38.1</v>
      </c>
      <c r="K2073" s="3" t="inlineStr">
        <is>
          <t>2차선 코너도로접 화장품산단 인접 성토완료</t>
        </is>
      </c>
      <c r="L2073" s="6">
        <f>HYPERLINK("https://fin.land.naver.com/articles/2654059997", "매물Link")</f>
        <v/>
      </c>
      <c r="M2073" s="6">
        <f>HYPERLINK("https://map.naver.com/p/search/오송읍 상정리 337", "지도Link")</f>
        <v/>
      </c>
      <c r="N2073" s="6">
        <f>HYPERLINK("http://www.eum.go.kr/web/ar/lu/luLandDet.jsp?pnu=4311325022103370000&amp;isNoScr=script&amp;mode=search", "토지이음")</f>
        <v/>
      </c>
      <c r="O2073" s="3" t="inlineStr">
        <is>
          <t>플러스태양</t>
        </is>
      </c>
      <c r="P2073" s="4" t="n">
        <v>1</v>
      </c>
      <c r="Q2073" s="4" t="n">
        <v>2022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상정리 337</t>
        </is>
      </c>
      <c r="B2074" s="3" t="inlineStr">
        <is>
          <t>계획관리지역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2849</v>
      </c>
      <c r="H2074" s="4" t="n">
        <v>862</v>
      </c>
      <c r="I2074" s="5" t="n">
        <v>174</v>
      </c>
      <c r="J2074" s="5" t="n">
        <v>38.1</v>
      </c>
      <c r="K2074" s="3" t="inlineStr">
        <is>
          <t>서울세종간 제2고속도로이용(오송ic) 2차 지방도접 입지 최고</t>
        </is>
      </c>
      <c r="L2074" s="6">
        <f>HYPERLINK("https://fin.land.naver.com/articles/2652103214", "매물Link")</f>
        <v/>
      </c>
      <c r="M2074" s="6">
        <f>HYPERLINK("https://map.naver.com/p/search/오송읍 상정리 337", "지도Link")</f>
        <v/>
      </c>
      <c r="N2074" s="6">
        <f>HYPERLINK("http://www.eum.go.kr/web/ar/lu/luLandDet.jsp?pnu=4311325022103370000&amp;isNoScr=script&amp;mode=search",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2022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부정형</t>
        </is>
      </c>
      <c r="V2074" s="3" t="inlineStr">
        <is>
          <t>세로한면(가)</t>
        </is>
      </c>
    </row>
    <row r="2075">
      <c r="A2075" s="3" t="inlineStr">
        <is>
          <t>오송읍 상정리 669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34000</v>
      </c>
      <c r="G2075" s="4" t="n">
        <v>507</v>
      </c>
      <c r="H2075" s="4" t="n">
        <v>153</v>
      </c>
      <c r="I2075" s="5" t="n">
        <v>222.2</v>
      </c>
      <c r="J2075" s="5" t="n">
        <v>80.09999999999999</v>
      </c>
      <c r="K2075" s="3" t="inlineStr">
        <is>
          <t>오송 화장품단지옆 전원주택단지,  작은 전원주택과 507㎡의 대지</t>
        </is>
      </c>
      <c r="L2075" s="6">
        <f>HYPERLINK("https://fin.land.naver.com/articles/2652917534", "매물Link")</f>
        <v/>
      </c>
      <c r="M2075" s="6">
        <f>HYPERLINK("https://map.naver.com/p/search/오송읍 상정리 669", "지도Link")</f>
        <v/>
      </c>
      <c r="N2075" s="6">
        <f>HYPERLINK("http://www.eum.go.kr/web/ar/lu/luLandDet.jsp?pnu=4311325022106690000&amp;isNoScr=script&amp;mode=search", "토지이음")</f>
        <v/>
      </c>
      <c r="O2075" s="3" t="inlineStr">
        <is>
          <t>OK파라곤</t>
        </is>
      </c>
      <c r="P2075" s="4" t="n">
        <v>1</v>
      </c>
      <c r="Q2075" s="4" t="n">
        <v>507.1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완경사</t>
        </is>
      </c>
      <c r="U2075" s="3" t="inlineStr">
        <is>
          <t>세로장방</t>
        </is>
      </c>
      <c r="V2075" s="3" t="inlineStr">
        <is>
          <t>세로한면(가)</t>
        </is>
      </c>
    </row>
    <row r="2076">
      <c r="A2076" s="3" t="inlineStr">
        <is>
          <t>오송읍 상정리 725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33000</v>
      </c>
      <c r="G2076" s="4" t="n">
        <v>541</v>
      </c>
      <c r="H2076" s="4" t="n">
        <v>164</v>
      </c>
      <c r="I2076" s="5" t="n">
        <v>201.2</v>
      </c>
      <c r="J2076" s="5" t="n">
        <v>80.09999999999999</v>
      </c>
      <c r="K2076" s="3" t="inlineStr">
        <is>
          <t>고급 전원주택 단지 계획관리지역 건폐율60 지역 화장품단지 호재</t>
        </is>
      </c>
      <c r="L2076" s="6">
        <f>HYPERLINK("https://fin.land.naver.com/articles/2655925487", "매물Link")</f>
        <v/>
      </c>
      <c r="M2076" s="6">
        <f>HYPERLINK("https://map.naver.com/p/search/오송읍 상정리 725", "지도Link")</f>
        <v/>
      </c>
      <c r="N2076" s="6">
        <f>HYPERLINK("http://www.eum.go.kr/web/ar/lu/luLandDet.jsp?pnu=4311325022107250000&amp;isNoScr=script&amp;mode=search", "토지이음")</f>
        <v/>
      </c>
      <c r="O2076" s="3" t="inlineStr">
        <is>
          <t>프렌즈</t>
        </is>
      </c>
      <c r="P2076" s="4" t="n">
        <v>1</v>
      </c>
      <c r="Q2076" s="4" t="n">
        <v>541.1</v>
      </c>
      <c r="R2076" s="3" t="inlineStr">
        <is>
          <t>지정되지않음</t>
        </is>
      </c>
      <c r="S2076" s="3" t="inlineStr">
        <is>
          <t>주거나지</t>
        </is>
      </c>
      <c r="T2076" s="3" t="inlineStr">
        <is>
          <t>완경사</t>
        </is>
      </c>
      <c r="U2076" s="3" t="inlineStr">
        <is>
          <t>세로장방</t>
        </is>
      </c>
      <c r="V2076" s="3" t="inlineStr">
        <is>
          <t>세로한면(가)</t>
        </is>
      </c>
    </row>
    <row r="2077">
      <c r="A2077" s="3" t="inlineStr">
        <is>
          <t>오송읍 상정리 751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30000</v>
      </c>
      <c r="G2077" s="4" t="n">
        <v>535</v>
      </c>
      <c r="H2077" s="4" t="n">
        <v>162</v>
      </c>
      <c r="I2077" s="5" t="n">
        <v>185.2</v>
      </c>
      <c r="J2077" s="5" t="n">
        <v>80.09999999999999</v>
      </c>
      <c r="K2077" s="3" t="inlineStr">
        <is>
          <t>나만의 전원주택 생활을 꿈꾸는 분들께  적극추천.금액조율 가능</t>
        </is>
      </c>
      <c r="L2077" s="6">
        <f>HYPERLINK("https://fin.land.naver.com/articles/2655591687", "매물Link")</f>
        <v/>
      </c>
      <c r="M2077" s="6">
        <f>HYPERLINK("https://map.naver.com/p/search/오송읍 상정리 751", "지도Link")</f>
        <v/>
      </c>
      <c r="N2077" s="6">
        <f>HYPERLINK("http://www.eum.go.kr/web/ar/lu/luLandDet.jsp?pnu=4311325022107510000&amp;isNoScr=script&amp;mode=search", "토지이음")</f>
        <v/>
      </c>
      <c r="O2077" s="3" t="inlineStr">
        <is>
          <t>오송2단지창조</t>
        </is>
      </c>
      <c r="P2077" s="4" t="n">
        <v>3</v>
      </c>
      <c r="Q2077" s="4" t="n">
        <v>535</v>
      </c>
      <c r="R2077" s="3" t="inlineStr">
        <is>
          <t>지정되지않음</t>
        </is>
      </c>
      <c r="S2077" s="3" t="inlineStr">
        <is>
          <t>주거나지</t>
        </is>
      </c>
      <c r="T2077" s="3" t="inlineStr">
        <is>
          <t>완경사</t>
        </is>
      </c>
      <c r="U2077" s="3" t="inlineStr">
        <is>
          <t>가로장방</t>
        </is>
      </c>
      <c r="V2077" s="3" t="inlineStr">
        <is>
          <t>세로한면(가)</t>
        </is>
      </c>
    </row>
    <row r="2078">
      <c r="A2078" s="3" t="inlineStr">
        <is>
          <t>오송읍 상정리 751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29000</v>
      </c>
      <c r="G2078" s="4" t="n">
        <v>535</v>
      </c>
      <c r="H2078" s="4" t="n">
        <v>162</v>
      </c>
      <c r="I2078" s="5" t="n">
        <v>179</v>
      </c>
      <c r="J2078" s="5" t="n">
        <v>80.09999999999999</v>
      </c>
      <c r="K2078" s="3" t="inlineStr">
        <is>
          <t>오송의 1산단 인접지.식약처등 국책기관과 바이오 기관 인접지</t>
        </is>
      </c>
      <c r="L2078" s="6">
        <f>HYPERLINK("https://fin.land.naver.com/articles/2651657266", "매물Link")</f>
        <v/>
      </c>
      <c r="M2078" s="6">
        <f>HYPERLINK("https://map.naver.com/p/search/오송읍 상정리 751", "지도Link")</f>
        <v/>
      </c>
      <c r="N2078" s="6">
        <f>HYPERLINK("http://www.eum.go.kr/web/ar/lu/luLandDet.jsp?pnu=4311325022107510000&amp;isNoScr=script&amp;mode=search", "토지이음")</f>
        <v/>
      </c>
      <c r="O2078" s="3" t="inlineStr">
        <is>
          <t>하나로</t>
        </is>
      </c>
      <c r="P2078" s="4" t="n">
        <v>1</v>
      </c>
      <c r="Q2078" s="4" t="n">
        <v>535</v>
      </c>
      <c r="R2078" s="3" t="inlineStr">
        <is>
          <t>지정되지않음</t>
        </is>
      </c>
      <c r="S2078" s="3" t="inlineStr">
        <is>
          <t>주거나지</t>
        </is>
      </c>
      <c r="T2078" s="3" t="inlineStr">
        <is>
          <t>완경사</t>
        </is>
      </c>
      <c r="U2078" s="3" t="inlineStr">
        <is>
          <t>가로장방</t>
        </is>
      </c>
      <c r="V2078" s="3" t="inlineStr">
        <is>
          <t>세로한면(가)</t>
        </is>
      </c>
    </row>
    <row r="2079">
      <c r="A2079" s="3" t="inlineStr">
        <is>
          <t>오송읍 상정리 79</t>
        </is>
      </c>
      <c r="B2079" s="3" t="inlineStr">
        <is>
          <t>생산관리지역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32000</v>
      </c>
      <c r="G2079" s="4" t="n">
        <v>2383</v>
      </c>
      <c r="H2079" s="4" t="n">
        <v>721</v>
      </c>
      <c r="I2079" s="5" t="n">
        <v>44.4</v>
      </c>
      <c r="J2079" s="5" t="n">
        <v>18</v>
      </c>
      <c r="K2079" s="3" t="inlineStr">
        <is>
          <t>여유를 만끽할 수 있는 토지,  인근전원주택지 개발된 오송화장품 산단 옆</t>
        </is>
      </c>
      <c r="L2079" s="6">
        <f>HYPERLINK("https://fin.land.naver.com/articles/2655547755", "매물Link")</f>
        <v/>
      </c>
      <c r="M2079" s="6">
        <f>HYPERLINK("https://map.naver.com/p/search/오송읍 상정리 79", "지도Link")</f>
        <v/>
      </c>
      <c r="N2079" s="6">
        <f>HYPERLINK("http://www.eum.go.kr/web/ar/lu/luLandDet.jsp?pnu=4311325022100790000&amp;isNoScr=script&amp;mode=search", "토지이음")</f>
        <v/>
      </c>
      <c r="O2079" s="3" t="inlineStr">
        <is>
          <t>OK파라곤</t>
        </is>
      </c>
      <c r="P2079" s="4" t="n">
        <v>1</v>
      </c>
      <c r="Q2079" s="4" t="n">
        <v>2383</v>
      </c>
      <c r="R2079" s="3" t="inlineStr">
        <is>
          <t>지정되지않음</t>
        </is>
      </c>
      <c r="S2079" s="3" t="inlineStr">
        <is>
          <t>전</t>
        </is>
      </c>
      <c r="T2079" s="3" t="inlineStr">
        <is>
          <t>완경사</t>
        </is>
      </c>
      <c r="U2079" s="3" t="inlineStr">
        <is>
          <t>부정형</t>
        </is>
      </c>
      <c r="V2079" s="3" t="inlineStr">
        <is>
          <t>세로한면(불)</t>
        </is>
      </c>
    </row>
    <row r="2080">
      <c r="A2080" s="3" t="inlineStr">
        <is>
          <t>오송읍 상정리 89-34</t>
        </is>
      </c>
      <c r="B2080" s="3" t="inlineStr">
        <is>
          <t>보전관리지역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60000</v>
      </c>
      <c r="G2080" s="4" t="n">
        <v>651</v>
      </c>
      <c r="H2080" s="4" t="n">
        <v>197</v>
      </c>
      <c r="I2080" s="5" t="n">
        <v>304.6</v>
      </c>
      <c r="J2080" s="5" t="n">
        <v>76.09999999999999</v>
      </c>
      <c r="K2080" s="3" t="inlineStr">
        <is>
          <t>동물병원</t>
        </is>
      </c>
      <c r="L2080" s="6">
        <f>HYPERLINK("https://fin.land.naver.com/articles/2656114370", "매물Link")</f>
        <v/>
      </c>
      <c r="M2080" s="6">
        <f>HYPERLINK("https://map.naver.com/p/search/오송읍 상정리 89-34", "지도Link")</f>
        <v/>
      </c>
      <c r="N2080" s="6">
        <f>HYPERLINK("http://www.eum.go.kr/web/ar/lu/luLandDet.jsp?pnu=4311325022100890034&amp;isNoScr=script&amp;mode=search",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651</v>
      </c>
      <c r="R2080" s="3" t="inlineStr">
        <is>
          <t>지정되지않음</t>
        </is>
      </c>
      <c r="S2080" s="3" t="inlineStr">
        <is>
          <t>주거기타</t>
        </is>
      </c>
      <c r="T2080" s="3" t="inlineStr">
        <is>
          <t>완경사</t>
        </is>
      </c>
      <c r="U2080" s="3" t="inlineStr">
        <is>
          <t>사다리형</t>
        </is>
      </c>
      <c r="V2080" s="3" t="inlineStr">
        <is>
          <t>세로각지(가)</t>
        </is>
      </c>
    </row>
    <row r="2081">
      <c r="A2081" s="3" t="inlineStr">
        <is>
          <t>오송읍 상정리 산55-3</t>
        </is>
      </c>
      <c r="B2081" s="3" t="inlineStr">
        <is>
          <t>보전관리지역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30000</v>
      </c>
      <c r="G2081" s="4" t="n">
        <v>555</v>
      </c>
      <c r="H2081" s="4" t="n">
        <v>168</v>
      </c>
      <c r="I2081" s="5" t="n">
        <v>178.6</v>
      </c>
      <c r="J2081" s="5" t="n">
        <v>78.3</v>
      </c>
      <c r="K2081" s="3" t="inlineStr">
        <is>
          <t>도심과 가까운 마당있는 전원주택 짓기 딱 좋은땅.추천매물</t>
        </is>
      </c>
      <c r="L2081" s="6">
        <f>HYPERLINK("https://fin.land.naver.com/articles/2653493810", "매물Link")</f>
        <v/>
      </c>
      <c r="M2081" s="6">
        <f>HYPERLINK("https://map.naver.com/p/search/오송읍 상정리 산55-3", "지도Link")</f>
        <v/>
      </c>
      <c r="N2081" s="6">
        <f>HYPERLINK("http://www.eum.go.kr/web/ar/lu/luLandDet.jsp?pnu=4311325022200550003&amp;isNoScr=script&amp;mode=search", "토지이음")</f>
        <v/>
      </c>
      <c r="O2081" s="3" t="inlineStr">
        <is>
          <t>오송2단지창조</t>
        </is>
      </c>
      <c r="P2081" s="4" t="n">
        <v>2</v>
      </c>
      <c r="Q2081" s="4" t="n">
        <v>555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사다리형</t>
        </is>
      </c>
      <c r="V2081" s="3" t="inlineStr">
        <is>
          <t>세로한면(가)</t>
        </is>
      </c>
    </row>
    <row r="2082">
      <c r="A2082" s="3" t="inlineStr">
        <is>
          <t>오송읍 서평리 127</t>
        </is>
      </c>
      <c r="B2082" s="3" t="inlineStr">
        <is>
          <t>농림지역</t>
        </is>
      </c>
      <c r="C2082" s="3" t="inlineStr">
        <is>
          <t>답</t>
        </is>
      </c>
      <c r="D2082" s="3" t="inlineStr">
        <is>
          <t>답</t>
        </is>
      </c>
      <c r="E2082" s="3" t="inlineStr">
        <is>
          <t>매매</t>
        </is>
      </c>
      <c r="F2082" s="4" t="n">
        <v>153000</v>
      </c>
      <c r="G2082" s="4" t="n">
        <v>4225</v>
      </c>
      <c r="H2082" s="4" t="n">
        <v>1278</v>
      </c>
      <c r="I2082" s="5" t="n">
        <v>119.7</v>
      </c>
      <c r="J2082" s="5" t="n">
        <v>59.4</v>
      </c>
      <c r="K2082" s="3" t="inlineStr">
        <is>
          <t>오송제3국가산업단지 개발예정지 도로에 접한 토지</t>
        </is>
      </c>
      <c r="L2082" s="6">
        <f>HYPERLINK("https://fin.land.naver.com/articles/2655169475", "매물Link")</f>
        <v/>
      </c>
      <c r="M2082" s="6">
        <f>HYPERLINK("https://map.naver.com/p/search/오송읍 서평리 127", "지도Link")</f>
        <v/>
      </c>
      <c r="N2082" s="6">
        <f>HYPERLINK("http://www.eum.go.kr/web/ar/lu/luLandDet.jsp?pnu=4311325030101270000&amp;isNoScr=script&amp;mode=search", "토지이음")</f>
        <v/>
      </c>
      <c r="O2082" s="3" t="inlineStr">
        <is>
          <t>세종대박</t>
        </is>
      </c>
      <c r="P2082" s="4" t="n">
        <v>1</v>
      </c>
      <c r="Q2082" s="4" t="n">
        <v>4225</v>
      </c>
      <c r="R2082" s="3" t="inlineStr">
        <is>
          <t>지정되지않음</t>
        </is>
      </c>
      <c r="S2082" s="3" t="inlineStr">
        <is>
          <t>답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소로각지</t>
        </is>
      </c>
    </row>
    <row r="2083">
      <c r="A2083" s="3" t="inlineStr">
        <is>
          <t>오송읍 서평리 128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144000</v>
      </c>
      <c r="G2083" s="4" t="n">
        <v>3967</v>
      </c>
      <c r="H2083" s="4" t="n">
        <v>1200</v>
      </c>
      <c r="I2083" s="5" t="n">
        <v>120</v>
      </c>
      <c r="J2083" s="5" t="n">
        <v>55.5</v>
      </c>
      <c r="K2083" s="3" t="inlineStr">
        <is>
          <t>오송제3국가산업단지 개발예정지 도로에 접한 토지</t>
        </is>
      </c>
      <c r="L2083" s="6">
        <f>HYPERLINK("https://fin.land.naver.com/articles/2655257930", "매물Link")</f>
        <v/>
      </c>
      <c r="M2083" s="6">
        <f>HYPERLINK("https://map.naver.com/p/search/오송읍 서평리 128", "지도Link")</f>
        <v/>
      </c>
      <c r="N2083" s="6">
        <f>HYPERLINK("http://www.eum.go.kr/web/ar/lu/luLandDet.jsp?pnu=4311325030101280000&amp;isNoScr=script&amp;mode=search", "토지이음")</f>
        <v/>
      </c>
      <c r="O2083" s="3" t="inlineStr">
        <is>
          <t>세종대박</t>
        </is>
      </c>
      <c r="P2083" s="4" t="n">
        <v>2</v>
      </c>
      <c r="Q2083" s="4" t="n">
        <v>3967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서평리 129</t>
        </is>
      </c>
      <c r="B2084" s="3" t="inlineStr">
        <is>
          <t>농림지역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170000</v>
      </c>
      <c r="G2084" s="4" t="n">
        <v>5088</v>
      </c>
      <c r="H2084" s="4" t="n">
        <v>1539</v>
      </c>
      <c r="I2084" s="5" t="n">
        <v>110.5</v>
      </c>
      <c r="J2084" s="5" t="n">
        <v>55.5</v>
      </c>
      <c r="K2084" s="3" t="inlineStr">
        <is>
          <t>오송 제3생명과학 국가산업단지 인근토지, 2차선도로에 접함,두필지,절충</t>
        </is>
      </c>
      <c r="L2084" s="6">
        <f>HYPERLINK("https://fin.land.naver.com/articles/2651207738", "매물Link")</f>
        <v/>
      </c>
      <c r="M2084" s="6">
        <f>HYPERLINK("https://map.naver.com/p/search/오송읍 서평리 129", "지도Link")</f>
        <v/>
      </c>
      <c r="N2084" s="6">
        <f>HYPERLINK("http://www.eum.go.kr/web/ar/lu/luLandDet.jsp?pnu=4311325030101290000&amp;isNoScr=script&amp;mode=search", "토지이음")</f>
        <v/>
      </c>
      <c r="O2084" s="3" t="inlineStr">
        <is>
          <t>금호무소</t>
        </is>
      </c>
      <c r="P2084" s="4" t="n">
        <v>1</v>
      </c>
      <c r="Q2084" s="4" t="n">
        <v>4116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서평리 129</t>
        </is>
      </c>
      <c r="B2085" s="3" t="inlineStr">
        <is>
          <t>농림지역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170000</v>
      </c>
      <c r="G2085" s="4" t="n">
        <v>5088</v>
      </c>
      <c r="H2085" s="4" t="n">
        <v>1539</v>
      </c>
      <c r="I2085" s="5" t="n">
        <v>110.5</v>
      </c>
      <c r="J2085" s="5" t="n">
        <v>55.5</v>
      </c>
      <c r="K2085" s="3" t="inlineStr">
        <is>
          <t>오송3산단 배후지 및 토지거래허가 해제로 지가 상승중인 유망 투자지역</t>
        </is>
      </c>
      <c r="L2085" s="6">
        <f>HYPERLINK("https://fin.land.naver.com/articles/2653326517", "매물Link")</f>
        <v/>
      </c>
      <c r="M2085" s="6">
        <f>HYPERLINK("https://map.naver.com/p/search/오송읍 서평리 129", "지도Link")</f>
        <v/>
      </c>
      <c r="N2085" s="6">
        <f>HYPERLINK("http://www.eum.go.kr/web/ar/lu/luLandDet.jsp?pnu=4311325030101290000&amp;isNoScr=script&amp;mode=search", "토지이음")</f>
        <v/>
      </c>
      <c r="O2085" s="3" t="inlineStr">
        <is>
          <t>청주모충사모1/2LH트릴로채명성</t>
        </is>
      </c>
      <c r="P2085" s="4" t="n">
        <v>1</v>
      </c>
      <c r="Q2085" s="4" t="n">
        <v>4116</v>
      </c>
      <c r="R2085" s="3" t="inlineStr">
        <is>
          <t>지정되지않음</t>
        </is>
      </c>
      <c r="S2085" s="3" t="inlineStr">
        <is>
          <t>답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서평리 131</t>
        </is>
      </c>
      <c r="B2086" s="3" t="inlineStr">
        <is>
          <t>농림지역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140000</v>
      </c>
      <c r="G2086" s="4" t="n">
        <v>4076</v>
      </c>
      <c r="H2086" s="4" t="n">
        <v>1233</v>
      </c>
      <c r="I2086" s="5" t="n">
        <v>113.5</v>
      </c>
      <c r="J2086" s="5" t="n">
        <v>55.5</v>
      </c>
      <c r="K2086" s="3" t="inlineStr">
        <is>
          <t>2차선 지방도변 농지로 오송3산업단지 인접지</t>
        </is>
      </c>
      <c r="L2086" s="6">
        <f>HYPERLINK("https://fin.land.naver.com/articles/2655312166", "매물Link")</f>
        <v/>
      </c>
      <c r="M2086" s="6">
        <f>HYPERLINK("https://map.naver.com/p/search/오송읍 서평리 131", "지도Link")</f>
        <v/>
      </c>
      <c r="N2086" s="6">
        <f>HYPERLINK("http://www.eum.go.kr/web/ar/lu/luLandDet.jsp?pnu=4311325030101310000&amp;isNoScr=script&amp;mode=search", "토지이음")</f>
        <v/>
      </c>
      <c r="O2086" s="3" t="inlineStr">
        <is>
          <t>오송k랜드</t>
        </is>
      </c>
      <c r="P2086" s="4" t="n">
        <v>1</v>
      </c>
      <c r="Q2086" s="4" t="n">
        <v>4076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소로한면</t>
        </is>
      </c>
    </row>
    <row r="2087">
      <c r="A2087" s="3" t="inlineStr">
        <is>
          <t>오송읍 서평리 180-6</t>
        </is>
      </c>
      <c r="B2087" s="3" t="inlineStr">
        <is>
          <t>농림지역</t>
        </is>
      </c>
      <c r="C2087" s="3" t="inlineStr">
        <is>
          <t>창고용지</t>
        </is>
      </c>
      <c r="D2087" s="3" t="inlineStr">
        <is>
          <t>창고용지</t>
        </is>
      </c>
      <c r="E2087" s="3" t="inlineStr">
        <is>
          <t>매매</t>
        </is>
      </c>
      <c r="F2087" s="4" t="n">
        <v>360000</v>
      </c>
      <c r="G2087" s="4" t="n">
        <v>2866</v>
      </c>
      <c r="H2087" s="4" t="n">
        <v>867</v>
      </c>
      <c r="I2087" s="5" t="n">
        <v>415.2</v>
      </c>
      <c r="J2087" s="5" t="n">
        <v>128.3</v>
      </c>
      <c r="K2087" s="3" t="inlineStr">
        <is>
          <t>오송제3산업단지 도로변 토지</t>
        </is>
      </c>
      <c r="L2087" s="6">
        <f>HYPERLINK("https://fin.land.naver.com/articles/2655257725", "매물Link")</f>
        <v/>
      </c>
      <c r="M2087" s="6">
        <f>HYPERLINK("https://map.naver.com/p/search/오송읍 서평리 180-6", "지도Link")</f>
        <v/>
      </c>
      <c r="N2087" s="6">
        <f>HYPERLINK("http://www.eum.go.kr/web/ar/lu/luLandDet.jsp?pnu=4311325030101800006&amp;isNoScr=script&amp;mode=search", "토지이음")</f>
        <v/>
      </c>
      <c r="O2087" s="3" t="inlineStr">
        <is>
          <t>세종대박</t>
        </is>
      </c>
      <c r="P2087" s="4" t="n">
        <v>2</v>
      </c>
      <c r="Q2087" s="4" t="n">
        <v>769</v>
      </c>
      <c r="R2087" s="3" t="inlineStr">
        <is>
          <t>지정되지않음</t>
        </is>
      </c>
      <c r="S2087" s="3" t="inlineStr">
        <is>
          <t>답창고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광대로한면</t>
        </is>
      </c>
    </row>
    <row r="2088">
      <c r="A2088" s="3" t="inlineStr">
        <is>
          <t>오송읍 서평리 180-6</t>
        </is>
      </c>
      <c r="B2088" s="3" t="inlineStr">
        <is>
          <t>농림지역</t>
        </is>
      </c>
      <c r="C2088" s="3" t="inlineStr">
        <is>
          <t>창고용지</t>
        </is>
      </c>
      <c r="D2088" s="3" t="inlineStr">
        <is>
          <t>답</t>
        </is>
      </c>
      <c r="E2088" s="3" t="inlineStr">
        <is>
          <t>매매</t>
        </is>
      </c>
      <c r="F2088" s="4" t="n">
        <v>360000</v>
      </c>
      <c r="G2088" s="4" t="n">
        <v>2866</v>
      </c>
      <c r="H2088" s="4" t="n">
        <v>867</v>
      </c>
      <c r="I2088" s="5" t="n">
        <v>415.2</v>
      </c>
      <c r="J2088" s="5" t="n">
        <v>128.3</v>
      </c>
      <c r="K2088" s="3" t="inlineStr">
        <is>
          <t>매물 특징</t>
        </is>
      </c>
      <c r="L2088" s="6">
        <f>HYPERLINK("https://fin.land.naver.com/articles/2653143304", "매물Link")</f>
        <v/>
      </c>
      <c r="M2088" s="6">
        <f>HYPERLINK("https://map.naver.com/p/search/오송읍 서평리 180-6", "지도Link")</f>
        <v/>
      </c>
      <c r="N2088" s="6">
        <f>HYPERLINK("http://www.eum.go.kr/web/ar/lu/luLandDet.jsp?pnu=4311325030101800006&amp;isNoScr=script&amp;mode=search", "토지이음")</f>
        <v/>
      </c>
      <c r="O2088" s="3" t="inlineStr">
        <is>
          <t>오송궁평마을</t>
        </is>
      </c>
      <c r="P2088" s="4" t="n">
        <v>1</v>
      </c>
      <c r="Q2088" s="4" t="n">
        <v>769</v>
      </c>
      <c r="R2088" s="3" t="inlineStr">
        <is>
          <t>지정되지않음</t>
        </is>
      </c>
      <c r="S2088" s="3" t="inlineStr">
        <is>
          <t>답창고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광대로한면</t>
        </is>
      </c>
    </row>
    <row r="2089">
      <c r="A2089" s="3" t="inlineStr">
        <is>
          <t>오송읍 서평리 183-2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115000</v>
      </c>
      <c r="G2089" s="4" t="n">
        <v>3977</v>
      </c>
      <c r="H2089" s="4" t="n">
        <v>1203</v>
      </c>
      <c r="I2089" s="5" t="n">
        <v>95.59999999999999</v>
      </c>
      <c r="J2089" s="5" t="n">
        <v>51.4</v>
      </c>
      <c r="K2089" s="3" t="inlineStr">
        <is>
          <t>3산단 인근물건중 단연  최고의 위치,가격, 투자 추천물건</t>
        </is>
      </c>
      <c r="L2089" s="6">
        <f>HYPERLINK("https://fin.land.naver.com/articles/2652104069", "매물Link")</f>
        <v/>
      </c>
      <c r="M2089" s="6">
        <f>HYPERLINK("https://map.naver.com/p/search/오송읍 서평리 183-2", "지도Link")</f>
        <v/>
      </c>
      <c r="N2089" s="6">
        <f>HYPERLINK("http://www.eum.go.kr/web/ar/lu/luLandDet.jsp?pnu=4311325030101830002&amp;isNoScr=script&amp;mode=search",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3977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세로한면(가)</t>
        </is>
      </c>
    </row>
    <row r="2090">
      <c r="A2090" s="3" t="inlineStr">
        <is>
          <t>오송읍 서평리 194-2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100000</v>
      </c>
      <c r="G2090" s="4" t="n">
        <v>2182</v>
      </c>
      <c r="H2090" s="4" t="n">
        <v>660</v>
      </c>
      <c r="I2090" s="5" t="n">
        <v>151.5</v>
      </c>
      <c r="J2090" s="5" t="n">
        <v>54.7</v>
      </c>
      <c r="K2090" s="3" t="inlineStr">
        <is>
          <t>36번국도인접, 현 2차지방도변(과일 노점이용중) 추천매물</t>
        </is>
      </c>
      <c r="L2090" s="6">
        <f>HYPERLINK("https://fin.land.naver.com/articles/2656447923", "매물Link")</f>
        <v/>
      </c>
      <c r="M2090" s="6">
        <f>HYPERLINK("https://map.naver.com/p/search/오송읍 서평리 194-2", "지도Link")</f>
        <v/>
      </c>
      <c r="N2090" s="6">
        <f>HYPERLINK("http://www.eum.go.kr/web/ar/lu/luLandDet.jsp?pnu=4311325030101940002&amp;isNoScr=script&amp;mode=search", "토지이음")</f>
        <v/>
      </c>
      <c r="O2090" s="3" t="inlineStr">
        <is>
          <t>오송k랜드</t>
        </is>
      </c>
      <c r="P2090" s="4" t="n">
        <v>1</v>
      </c>
      <c r="Q2090" s="4" t="n">
        <v>2182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196-3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86100</v>
      </c>
      <c r="G2091" s="4" t="n">
        <v>2033</v>
      </c>
      <c r="H2091" s="4" t="n">
        <v>615</v>
      </c>
      <c r="I2091" s="5" t="n">
        <v>140</v>
      </c>
      <c r="J2091" s="5" t="n">
        <v>54.7</v>
      </c>
      <c r="K2091" s="3" t="inlineStr">
        <is>
          <t>오송제3산업단지인근 도로접한 토지</t>
        </is>
      </c>
      <c r="L2091" s="6">
        <f>HYPERLINK("https://fin.land.naver.com/articles/2655086091", "매물Link")</f>
        <v/>
      </c>
      <c r="M2091" s="6">
        <f>HYPERLINK("https://map.naver.com/p/search/오송읍 서평리 196-3", "지도Link")</f>
        <v/>
      </c>
      <c r="N2091" s="6">
        <f>HYPERLINK("http://www.eum.go.kr/web/ar/lu/luLandDet.jsp?pnu=4311325030101960003&amp;isNoScr=script&amp;mode=search", "토지이음")</f>
        <v/>
      </c>
      <c r="O2091" s="3" t="inlineStr">
        <is>
          <t>세종대박</t>
        </is>
      </c>
      <c r="P2091" s="4" t="n">
        <v>2</v>
      </c>
      <c r="Q2091" s="4" t="n">
        <v>2033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210-1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44700</v>
      </c>
      <c r="G2092" s="4" t="n">
        <v>1477</v>
      </c>
      <c r="H2092" s="4" t="n">
        <v>447</v>
      </c>
      <c r="I2092" s="5" t="n">
        <v>100</v>
      </c>
      <c r="J2092" s="5" t="n">
        <v>54.7</v>
      </c>
      <c r="K2092" s="3" t="inlineStr">
        <is>
          <t>nan</t>
        </is>
      </c>
      <c r="L2092" s="6">
        <f>HYPERLINK("https://fin.land.naver.com/articles/2653731006", "매물Link")</f>
        <v/>
      </c>
      <c r="M2092" s="6">
        <f>HYPERLINK("https://map.naver.com/p/search/오송읍 서평리 210-1", "지도Link")</f>
        <v/>
      </c>
      <c r="N2092" s="6">
        <f>HYPERLINK("http://www.eum.go.kr/web/ar/lu/luLandDet.jsp?pnu=4311325030102100001&amp;isNoScr=script&amp;mode=search", "토지이음")</f>
        <v/>
      </c>
      <c r="O2092" s="3" t="inlineStr">
        <is>
          <t>세종큰길</t>
        </is>
      </c>
      <c r="P2092" s="4" t="n">
        <v>1</v>
      </c>
      <c r="Q2092" s="4" t="n">
        <v>1373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서평리 214-4</t>
        </is>
      </c>
      <c r="B2093" s="3" t="inlineStr">
        <is>
          <t>농림지역</t>
        </is>
      </c>
      <c r="C2093" s="3" t="inlineStr">
        <is>
          <t>전</t>
        </is>
      </c>
      <c r="D2093" s="3" t="inlineStr">
        <is>
          <t>과수원</t>
        </is>
      </c>
      <c r="E2093" s="3" t="inlineStr">
        <is>
          <t>매매</t>
        </is>
      </c>
      <c r="F2093" s="4" t="n">
        <v>122000</v>
      </c>
      <c r="G2093" s="4" t="n">
        <v>3080</v>
      </c>
      <c r="H2093" s="4" t="n">
        <v>932</v>
      </c>
      <c r="I2093" s="5" t="n">
        <v>130.9</v>
      </c>
      <c r="J2093" s="5" t="n">
        <v>54.7</v>
      </c>
      <c r="K2093" s="3" t="inlineStr">
        <is>
          <t>2차선 도로접한 토지</t>
        </is>
      </c>
      <c r="L2093" s="6">
        <f>HYPERLINK("https://fin.land.naver.com/articles/2650856660", "매물Link")</f>
        <v/>
      </c>
      <c r="M2093" s="6">
        <f>HYPERLINK("https://map.naver.com/p/search/오송읍 서평리 214-4", "지도Link")</f>
        <v/>
      </c>
      <c r="N2093" s="6">
        <f>HYPERLINK("http://www.eum.go.kr/web/ar/lu/luLandDet.jsp?pnu=4311325030102140004&amp;isNoScr=script&amp;mode=search", "토지이음")</f>
        <v/>
      </c>
      <c r="O2093" s="3" t="inlineStr">
        <is>
          <t>세종대박</t>
        </is>
      </c>
      <c r="P2093" s="4" t="n">
        <v>1</v>
      </c>
      <c r="Q2093" s="4" t="n">
        <v>3080</v>
      </c>
      <c r="R2093" s="3" t="inlineStr">
        <is>
          <t>지정되지않음</t>
        </is>
      </c>
      <c r="S2093" s="3" t="inlineStr">
        <is>
          <t>전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소로한면</t>
        </is>
      </c>
    </row>
    <row r="2094">
      <c r="A2094" s="3" t="inlineStr">
        <is>
          <t>오송읍 서평리 281-1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105000</v>
      </c>
      <c r="G2094" s="4" t="n">
        <v>2827</v>
      </c>
      <c r="H2094" s="4" t="n">
        <v>855</v>
      </c>
      <c r="I2094" s="5" t="n">
        <v>122.8</v>
      </c>
      <c r="J2094" s="5" t="n">
        <v>29.5</v>
      </c>
      <c r="K2094" s="3" t="inlineStr">
        <is>
          <t>하우스시설이 완비된 토지,주변 토지와 일괄 매매</t>
        </is>
      </c>
      <c r="L2094" s="6">
        <f>HYPERLINK("https://fin.land.naver.com/articles/2653865751", "매물Link")</f>
        <v/>
      </c>
      <c r="M2094" s="6">
        <f>HYPERLINK("https://map.naver.com/p/search/오송읍 서평리 281-1", "지도Link")</f>
        <v/>
      </c>
      <c r="N2094" s="6">
        <f>HYPERLINK("http://www.eum.go.kr/web/ar/lu/luLandDet.jsp?pnu=4311325030102810001&amp;isNoScr=script&amp;mode=search", "토지이음")</f>
        <v/>
      </c>
      <c r="O2094" s="3" t="inlineStr">
        <is>
          <t>오송2단지창조</t>
        </is>
      </c>
      <c r="P2094" s="4" t="n">
        <v>1</v>
      </c>
      <c r="Q2094" s="4" t="n">
        <v>2827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사다리형</t>
        </is>
      </c>
      <c r="V2094" s="3" t="inlineStr">
        <is>
          <t>세로한면(가)</t>
        </is>
      </c>
    </row>
    <row r="2095">
      <c r="A2095" s="3" t="inlineStr">
        <is>
          <t>오송읍 서평리 354-1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96000</v>
      </c>
      <c r="G2095" s="4" t="n">
        <v>3507</v>
      </c>
      <c r="H2095" s="4" t="n">
        <v>1061</v>
      </c>
      <c r="I2095" s="5" t="n">
        <v>90.5</v>
      </c>
      <c r="J2095" s="5" t="n">
        <v>41.7</v>
      </c>
      <c r="K2095" s="3" t="inlineStr">
        <is>
          <t>오송3산업단지 수용지 인근 투자</t>
        </is>
      </c>
      <c r="L2095" s="6">
        <f>HYPERLINK("https://fin.land.naver.com/articles/2656447809", "매물Link")</f>
        <v/>
      </c>
      <c r="M2095" s="6">
        <f>HYPERLINK("https://map.naver.com/p/search/오송읍 서평리 354-1", "지도Link")</f>
        <v/>
      </c>
      <c r="N2095" s="6">
        <f>HYPERLINK("http://www.eum.go.kr/web/ar/lu/luLandDet.jsp?pnu=4311325030103540001&amp;isNoScr=script&amp;mode=search", "토지이음")</f>
        <v/>
      </c>
      <c r="O2095" s="3" t="inlineStr">
        <is>
          <t>오송k랜드</t>
        </is>
      </c>
      <c r="P2095" s="4" t="n">
        <v>1</v>
      </c>
      <c r="Q2095" s="4" t="n">
        <v>2466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356</t>
        </is>
      </c>
      <c r="B2096" s="3" t="inlineStr">
        <is>
          <t>농림지역</t>
        </is>
      </c>
      <c r="C2096" s="3" t="inlineStr">
        <is>
          <t>창고용지</t>
        </is>
      </c>
      <c r="D2096" s="3" t="inlineStr">
        <is>
          <t>창고용지</t>
        </is>
      </c>
      <c r="E2096" s="3" t="inlineStr">
        <is>
          <t>매매</t>
        </is>
      </c>
      <c r="F2096" s="4" t="n">
        <v>120000</v>
      </c>
      <c r="G2096" s="4" t="n">
        <v>2423</v>
      </c>
      <c r="H2096" s="4" t="n">
        <v>733</v>
      </c>
      <c r="I2096" s="5" t="n">
        <v>163.7</v>
      </c>
      <c r="J2096" s="5" t="n">
        <v>49.6</v>
      </c>
      <c r="K2096" s="3" t="inlineStr">
        <is>
          <t>오송제3산업단지 인근 2차선도로에 접한 창고 및 과수원 급매합니다</t>
        </is>
      </c>
      <c r="L2096" s="6">
        <f>HYPERLINK("https://fin.land.naver.com/articles/2653607197", "매물Link")</f>
        <v/>
      </c>
      <c r="M2096" s="6">
        <f>HYPERLINK("https://map.naver.com/p/search/오송읍 서평리 356", "지도Link")</f>
        <v/>
      </c>
      <c r="N2096" s="6">
        <f>HYPERLINK("http://www.eum.go.kr/web/ar/lu/luLandDet.jsp?pnu=4311325030103560000&amp;isNoScr=script&amp;mode=search", "토지이음")</f>
        <v/>
      </c>
      <c r="O2096" s="3" t="inlineStr">
        <is>
          <t>스마일세종</t>
        </is>
      </c>
      <c r="P2096" s="4" t="n">
        <v>2</v>
      </c>
      <c r="Q2096" s="4" t="n">
        <v>900</v>
      </c>
      <c r="R2096" s="3" t="inlineStr">
        <is>
          <t>지정되지않음</t>
        </is>
      </c>
      <c r="S2096" s="3" t="inlineStr">
        <is>
          <t>답창고</t>
        </is>
      </c>
      <c r="T2096" s="3" t="inlineStr">
        <is>
          <t>평지</t>
        </is>
      </c>
      <c r="U2096" s="3" t="inlineStr">
        <is>
          <t>사다리형</t>
        </is>
      </c>
      <c r="V2096" s="3" t="inlineStr">
        <is>
          <t>소로한면</t>
        </is>
      </c>
    </row>
    <row r="2097">
      <c r="A2097" s="3" t="inlineStr">
        <is>
          <t>오송읍 서평리 356</t>
        </is>
      </c>
      <c r="B2097" s="3" t="inlineStr">
        <is>
          <t>농림지역</t>
        </is>
      </c>
      <c r="C2097" s="3" t="inlineStr">
        <is>
          <t>창고용지</t>
        </is>
      </c>
      <c r="D2097" s="3" t="inlineStr">
        <is>
          <t>답</t>
        </is>
      </c>
      <c r="E2097" s="3" t="inlineStr">
        <is>
          <t>매매</t>
        </is>
      </c>
      <c r="F2097" s="4" t="n">
        <v>110000</v>
      </c>
      <c r="G2097" s="4" t="n">
        <v>2423</v>
      </c>
      <c r="H2097" s="4" t="n">
        <v>733</v>
      </c>
      <c r="I2097" s="5" t="n">
        <v>150.1</v>
      </c>
      <c r="J2097" s="5" t="n">
        <v>49.6</v>
      </c>
      <c r="K2097" s="3" t="inlineStr">
        <is>
          <t>2차선도로접한3필지일괄매매,창고는 현재 임대중,그리고 복숭아밭으로이용중</t>
        </is>
      </c>
      <c r="L2097" s="6">
        <f>HYPERLINK("https://fin.land.naver.com/articles/2652138120", "매물Link")</f>
        <v/>
      </c>
      <c r="M2097" s="6">
        <f>HYPERLINK("https://map.naver.com/p/search/오송읍 서평리 356", "지도Link")</f>
        <v/>
      </c>
      <c r="N2097" s="6">
        <f>HYPERLINK("http://www.eum.go.kr/web/ar/lu/luLandDet.jsp?pnu=4311325030103560000&amp;isNoScr=script&amp;mode=search", "토지이음")</f>
        <v/>
      </c>
      <c r="O2097" s="3" t="inlineStr">
        <is>
          <t>담뜰</t>
        </is>
      </c>
      <c r="P2097" s="4" t="n">
        <v>1</v>
      </c>
      <c r="Q2097" s="4" t="n">
        <v>900</v>
      </c>
      <c r="R2097" s="3" t="inlineStr">
        <is>
          <t>지정되지않음</t>
        </is>
      </c>
      <c r="S2097" s="3" t="inlineStr">
        <is>
          <t>답창고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소로한면</t>
        </is>
      </c>
    </row>
    <row r="2098">
      <c r="A2098" s="3" t="inlineStr">
        <is>
          <t>오송읍 서평리 381-8</t>
        </is>
      </c>
      <c r="B2098" s="3" t="inlineStr">
        <is>
          <t>생산관리지역</t>
        </is>
      </c>
      <c r="C2098" s="3" t="inlineStr">
        <is>
          <t>전</t>
        </is>
      </c>
      <c r="D2098" s="3" t="inlineStr">
        <is>
          <t>전</t>
        </is>
      </c>
      <c r="E2098" s="3" t="inlineStr">
        <is>
          <t>매매</t>
        </is>
      </c>
      <c r="F2098" s="4" t="n">
        <v>124000</v>
      </c>
      <c r="G2098" s="4" t="n">
        <v>4100</v>
      </c>
      <c r="H2098" s="4" t="n">
        <v>1240</v>
      </c>
      <c r="I2098" s="5" t="n">
        <v>100</v>
      </c>
      <c r="J2098" s="5" t="n">
        <v>39.1</v>
      </c>
      <c r="K2098" s="3" t="inlineStr">
        <is>
          <t>nan</t>
        </is>
      </c>
      <c r="L2098" s="6">
        <f>HYPERLINK("https://fin.land.naver.com/articles/2651729251", "매물Link")</f>
        <v/>
      </c>
      <c r="M2098" s="6">
        <f>HYPERLINK("https://map.naver.com/p/search/오송읍 서평리 381-8", "지도Link")</f>
        <v/>
      </c>
      <c r="N2098" s="6">
        <f>HYPERLINK("http://www.eum.go.kr/web/ar/lu/luLandDet.jsp?pnu=4311325030103810008&amp;isNoScr=script&amp;mode=search", "토지이음")</f>
        <v/>
      </c>
      <c r="O2098" s="3" t="inlineStr">
        <is>
          <t>세종땅전문</t>
        </is>
      </c>
      <c r="P2098" s="4" t="n">
        <v>1</v>
      </c>
      <c r="Q2098" s="4" t="n">
        <v>4100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세로한면(불)</t>
        </is>
      </c>
    </row>
    <row r="2099">
      <c r="A2099" s="3" t="inlineStr">
        <is>
          <t>오송읍 서평리 56-9</t>
        </is>
      </c>
      <c r="B2099" s="3" t="inlineStr">
        <is>
          <t>계획관리지역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57400</v>
      </c>
      <c r="G2099" s="4" t="n">
        <v>542</v>
      </c>
      <c r="H2099" s="4" t="n">
        <v>164</v>
      </c>
      <c r="I2099" s="5" t="n">
        <v>350</v>
      </c>
      <c r="J2099" s="5" t="n">
        <v>195.9</v>
      </c>
      <c r="K2099" s="3" t="inlineStr">
        <is>
          <t>오송읍 서평리 주거개발진흥지구내 다가구 .상가.상가주택등 신축 추천</t>
        </is>
      </c>
      <c r="L2099" s="6">
        <f>HYPERLINK("https://fin.land.naver.com/articles/2655086997", "매물Link")</f>
        <v/>
      </c>
      <c r="M2099" s="6">
        <f>HYPERLINK("https://map.naver.com/p/search/오송읍 서평리 56-9", "지도Link")</f>
        <v/>
      </c>
      <c r="N2099" s="6">
        <f>HYPERLINK("http://www.eum.go.kr/web/ar/lu/luLandDet.jsp?pnu=4311325030100560009&amp;isNoScr=script&amp;mode=search", "토지이음")</f>
        <v/>
      </c>
      <c r="O2099" s="3" t="inlineStr">
        <is>
          <t>그린</t>
        </is>
      </c>
      <c r="P2099" s="4" t="n">
        <v>1</v>
      </c>
      <c r="Q2099" s="4" t="n">
        <v>542</v>
      </c>
      <c r="R2099" s="3" t="inlineStr">
        <is>
          <t>지정되지않음</t>
        </is>
      </c>
      <c r="S2099" s="3" t="inlineStr">
        <is>
          <t>주상기타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중로한면</t>
        </is>
      </c>
    </row>
    <row r="2100">
      <c r="A2100" s="3" t="inlineStr">
        <is>
          <t>오송읍 서평리 664-97</t>
        </is>
      </c>
      <c r="B2100" s="3" t="inlineStr">
        <is>
          <t>농림지역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23000</v>
      </c>
      <c r="G2100" s="4" t="n">
        <v>591</v>
      </c>
      <c r="H2100" s="4" t="n">
        <v>179</v>
      </c>
      <c r="I2100" s="5" t="n">
        <v>128.5</v>
      </c>
      <c r="J2100" s="5" t="n">
        <v>38</v>
      </c>
      <c r="K2100" s="3" t="inlineStr">
        <is>
          <t>도로접한 토지</t>
        </is>
      </c>
      <c r="L2100" s="6">
        <f>HYPERLINK("https://fin.land.naver.com/articles/2650856659", "매물Link")</f>
        <v/>
      </c>
      <c r="M2100" s="6">
        <f>HYPERLINK("https://map.naver.com/p/search/오송읍 서평리 664-97", "지도Link")</f>
        <v/>
      </c>
      <c r="N2100" s="6">
        <f>HYPERLINK("http://www.eum.go.kr/web/ar/lu/luLandDet.jsp?pnu=4311325030106640097&amp;isNoScr=script&amp;mode=search", "토지이음")</f>
        <v/>
      </c>
      <c r="O2100" s="3" t="inlineStr">
        <is>
          <t>세종대박</t>
        </is>
      </c>
      <c r="P2100" s="4" t="n">
        <v>1</v>
      </c>
      <c r="Q2100" s="4" t="n">
        <v>591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서평리 80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대</t>
        </is>
      </c>
      <c r="E2101" s="3" t="inlineStr">
        <is>
          <t>매매</t>
        </is>
      </c>
      <c r="F2101" s="4" t="n">
        <v>100000</v>
      </c>
      <c r="G2101" s="4" t="n">
        <v>4548</v>
      </c>
      <c r="H2101" s="4" t="n">
        <v>1376</v>
      </c>
      <c r="I2101" s="5" t="n">
        <v>72.7</v>
      </c>
      <c r="J2101" s="5" t="n">
        <v>36.9</v>
      </c>
      <c r="K2101" s="3" t="inlineStr">
        <is>
          <t>nan</t>
        </is>
      </c>
      <c r="L2101" s="6">
        <f>HYPERLINK("https://fin.land.naver.com/articles/2654025226", "매물Link")</f>
        <v/>
      </c>
      <c r="M2101" s="6">
        <f>HYPERLINK("https://map.naver.com/p/search/오송읍 서평리 80", "지도Link")</f>
        <v/>
      </c>
      <c r="N2101" s="6">
        <f>HYPERLINK("http://www.eum.go.kr/web/ar/lu/luLandDet.jsp?pnu=4311325030100800000&amp;isNoScr=script&amp;mode=search", "토지이음")</f>
        <v/>
      </c>
      <c r="O2101" s="3" t="inlineStr">
        <is>
          <t>오송랜드</t>
        </is>
      </c>
      <c r="P2101" s="4" t="n">
        <v>1</v>
      </c>
      <c r="Q2101" s="4" t="n">
        <v>3848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세로한면(가)</t>
        </is>
      </c>
    </row>
    <row r="2102">
      <c r="A2102" s="3" t="inlineStr">
        <is>
          <t>오송읍 서평리 88-1</t>
        </is>
      </c>
      <c r="B2102" s="3" t="inlineStr">
        <is>
          <t>농림지역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39000</v>
      </c>
      <c r="G2102" s="4" t="n">
        <v>1289</v>
      </c>
      <c r="H2102" s="4" t="n">
        <v>390</v>
      </c>
      <c r="I2102" s="5" t="n">
        <v>100</v>
      </c>
      <c r="J2102" s="5" t="n">
        <v>38.8</v>
      </c>
      <c r="K2102" s="3" t="inlineStr">
        <is>
          <t>농사짓기 좋은 우량 농지 매매</t>
        </is>
      </c>
      <c r="L2102" s="6">
        <f>HYPERLINK("https://fin.land.naver.com/articles/2655174151", "매물Link")</f>
        <v/>
      </c>
      <c r="M2102" s="6">
        <f>HYPERLINK("https://map.naver.com/p/search/오송읍 서평리 88-1", "지도Link")</f>
        <v/>
      </c>
      <c r="N2102" s="6">
        <f>HYPERLINK("http://www.eum.go.kr/web/ar/lu/luLandDet.jsp?pnu=4311325030100880001&amp;isNoScr=script&amp;mode=search", "토지이음")</f>
        <v/>
      </c>
      <c r="O2102" s="3" t="inlineStr">
        <is>
          <t>오송2단지창조</t>
        </is>
      </c>
      <c r="P2102" s="4" t="n">
        <v>1</v>
      </c>
      <c r="Q2102" s="4" t="n">
        <v>1289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세로각지(가)</t>
        </is>
      </c>
    </row>
    <row r="2103">
      <c r="A2103" s="3" t="inlineStr">
        <is>
          <t>오송읍 서평리 88-2</t>
        </is>
      </c>
      <c r="B2103" s="3" t="inlineStr">
        <is>
          <t>농림지역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80700</v>
      </c>
      <c r="G2103" s="4" t="n">
        <v>2668</v>
      </c>
      <c r="H2103" s="4" t="n">
        <v>807</v>
      </c>
      <c r="I2103" s="5" t="n">
        <v>100</v>
      </c>
      <c r="J2103" s="5" t="n">
        <v>37.3</v>
      </c>
      <c r="K2103" s="3" t="inlineStr">
        <is>
          <t>경지정리 완료 농기계 진입 편리, 바로 농사 가능한 우량 농지 매매</t>
        </is>
      </c>
      <c r="L2103" s="6">
        <f>HYPERLINK("https://fin.land.naver.com/articles/2655173861", "매물Link")</f>
        <v/>
      </c>
      <c r="M2103" s="6">
        <f>HYPERLINK("https://map.naver.com/p/search/오송읍 서평리 88-2", "지도Link")</f>
        <v/>
      </c>
      <c r="N2103" s="6">
        <f>HYPERLINK("http://www.eum.go.kr/web/ar/lu/luLandDet.jsp?pnu=4311325030100880002&amp;isNoScr=script&amp;mode=search", "토지이음")</f>
        <v/>
      </c>
      <c r="O2103" s="3" t="inlineStr">
        <is>
          <t>오송2단지창조</t>
        </is>
      </c>
      <c r="P2103" s="4" t="n">
        <v>1</v>
      </c>
      <c r="Q2103" s="4" t="n">
        <v>2668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세로한면(가)</t>
        </is>
      </c>
    </row>
    <row r="2104">
      <c r="A2104" s="3" t="inlineStr">
        <is>
          <t>오송읍 서평리 94-2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57300</v>
      </c>
      <c r="G2104" s="4" t="n">
        <v>1975</v>
      </c>
      <c r="H2104" s="4" t="n">
        <v>597</v>
      </c>
      <c r="I2104" s="5" t="n">
        <v>96</v>
      </c>
      <c r="J2104" s="5" t="n">
        <v>54.7</v>
      </c>
      <c r="K2104" s="3" t="inlineStr">
        <is>
          <t>오송제3산업단지(27.하반기 보상예정)인접하고 4차로 확장예정도로접함.</t>
        </is>
      </c>
      <c r="L2104" s="6">
        <f>HYPERLINK("https://fin.land.naver.com/articles/2656447661", "매물Link")</f>
        <v/>
      </c>
      <c r="M2104" s="6">
        <f>HYPERLINK("https://map.naver.com/p/search/오송읍 서평리 94-2", "지도Link")</f>
        <v/>
      </c>
      <c r="N2104" s="6">
        <f>HYPERLINK("http://www.eum.go.kr/web/ar/lu/luLandDet.jsp?pnu=4311325030100940002&amp;isNoScr=script&amp;mode=search", "토지이음")</f>
        <v/>
      </c>
      <c r="O2104" s="3" t="inlineStr">
        <is>
          <t>오송k랜드</t>
        </is>
      </c>
      <c r="P2104" s="4" t="n">
        <v>1</v>
      </c>
      <c r="Q2104" s="4" t="n">
        <v>1975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가로장방</t>
        </is>
      </c>
      <c r="V2104" s="3" t="inlineStr">
        <is>
          <t>소로한면</t>
        </is>
      </c>
    </row>
    <row r="2105">
      <c r="A2105" s="3" t="inlineStr">
        <is>
          <t>오송읍 서평리 96-3</t>
        </is>
      </c>
      <c r="B2105" s="3" t="inlineStr">
        <is>
          <t>-</t>
        </is>
      </c>
      <c r="C2105" s="3" t="inlineStr">
        <is>
          <t>-</t>
        </is>
      </c>
      <c r="D2105" s="3" t="inlineStr">
        <is>
          <t>답</t>
        </is>
      </c>
      <c r="E2105" s="3" t="inlineStr">
        <is>
          <t>매매</t>
        </is>
      </c>
      <c r="F2105" s="4" t="n">
        <v>106600</v>
      </c>
      <c r="G2105" s="4" t="n">
        <v>2710</v>
      </c>
      <c r="H2105" s="4" t="n">
        <v>820</v>
      </c>
      <c r="I2105" s="5" t="n">
        <v>130</v>
      </c>
      <c r="J2105" s="5" t="n">
        <v>0</v>
      </c>
      <c r="K2105" s="3" t="inlineStr">
        <is>
          <t>오송국가산업단지 보건의료국책기관 오송역세권 지역이 인근지역에 위치</t>
        </is>
      </c>
      <c r="L2105" s="6">
        <f>HYPERLINK("https://fin.land.naver.com/articles/2655690112", "매물Link")</f>
        <v/>
      </c>
      <c r="M2105" s="6">
        <f>HYPERLINK("https://map.naver.com/p/search/오송읍 서평리 96-3", "지도Link")</f>
        <v/>
      </c>
      <c r="N2105" s="6">
        <f>HYPERLINK("http://www.eum.go.kr/web/ar/lu/luLandDet.jsp?pnu=4311325030100960003&amp;isNoScr=script&amp;mode=search",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0</v>
      </c>
      <c r="R2105" s="3" t="inlineStr">
        <is>
          <t>-</t>
        </is>
      </c>
      <c r="S2105" s="3" t="inlineStr">
        <is>
          <t>-</t>
        </is>
      </c>
      <c r="T2105" s="3" t="inlineStr">
        <is>
          <t>-</t>
        </is>
      </c>
      <c r="U2105" s="3" t="inlineStr">
        <is>
          <t>-</t>
        </is>
      </c>
      <c r="V2105" s="3" t="inlineStr">
        <is>
          <t>-</t>
        </is>
      </c>
    </row>
    <row r="2106">
      <c r="A2106" s="3" t="inlineStr">
        <is>
          <t>오송읍 쌍청리 107-1</t>
        </is>
      </c>
      <c r="B2106" s="3" t="inlineStr">
        <is>
          <t>계획관리지역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210000</v>
      </c>
      <c r="G2106" s="4" t="n">
        <v>7659</v>
      </c>
      <c r="H2106" s="4" t="n">
        <v>2317</v>
      </c>
      <c r="I2106" s="5" t="n">
        <v>90.59999999999999</v>
      </c>
      <c r="J2106" s="5" t="n">
        <v>23.8</v>
      </c>
      <c r="K2106" s="3" t="inlineStr">
        <is>
          <t>nan</t>
        </is>
      </c>
      <c r="L2106" s="6">
        <f>HYPERLINK("https://fin.land.naver.com/articles/2654622065", "매물Link")</f>
        <v/>
      </c>
      <c r="M2106" s="6">
        <f>HYPERLINK("https://map.naver.com/p/search/오송읍 쌍청리 107-1", "지도Link")</f>
        <v/>
      </c>
      <c r="N2106" s="6">
        <f>HYPERLINK("http://www.eum.go.kr/web/ar/lu/luLandDet.jsp?pnu=4311325024101070001&amp;isNoScr=script&amp;mode=search", "토지이음")</f>
        <v/>
      </c>
      <c r="O2106" s="3" t="inlineStr">
        <is>
          <t>프렌즈</t>
        </is>
      </c>
      <c r="P2106" s="4" t="n">
        <v>1</v>
      </c>
      <c r="Q2106" s="4" t="n">
        <v>4268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평지</t>
        </is>
      </c>
      <c r="U2106" s="3" t="inlineStr">
        <is>
          <t>사다리형</t>
        </is>
      </c>
      <c r="V2106" s="3" t="inlineStr">
        <is>
          <t>맹지</t>
        </is>
      </c>
    </row>
    <row r="2107">
      <c r="A2107" s="3" t="inlineStr">
        <is>
          <t>오송읍 쌍청리 108-1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공장용지</t>
        </is>
      </c>
      <c r="E2107" s="3" t="inlineStr">
        <is>
          <t>매매</t>
        </is>
      </c>
      <c r="F2107" s="4" t="n">
        <v>145000</v>
      </c>
      <c r="G2107" s="4" t="n">
        <v>2382</v>
      </c>
      <c r="H2107" s="4" t="n">
        <v>721</v>
      </c>
      <c r="I2107" s="5" t="n">
        <v>201.1</v>
      </c>
      <c r="J2107" s="5" t="n">
        <v>70.09999999999999</v>
      </c>
      <c r="K2107" s="3" t="inlineStr">
        <is>
          <t>nan</t>
        </is>
      </c>
      <c r="L2107" s="6">
        <f>HYPERLINK("https://fin.land.naver.com/articles/2653729537", "매물Link")</f>
        <v/>
      </c>
      <c r="M2107" s="6">
        <f>HYPERLINK("https://map.naver.com/p/search/오송읍 쌍청리 108-1", "지도Link")</f>
        <v/>
      </c>
      <c r="N2107" s="6">
        <f>HYPERLINK("http://www.eum.go.kr/web/ar/lu/luLandDet.jsp?pnu=4311325024101080001&amp;isNoScr=script&amp;mode=search", "토지이음")</f>
        <v/>
      </c>
      <c r="O2107" s="3" t="inlineStr">
        <is>
          <t>세종큰길</t>
        </is>
      </c>
      <c r="P2107" s="4" t="n">
        <v>1</v>
      </c>
      <c r="Q2107" s="4" t="n">
        <v>456</v>
      </c>
      <c r="R2107" s="3" t="inlineStr">
        <is>
          <t>지정되지않음</t>
        </is>
      </c>
      <c r="S2107" s="3" t="inlineStr">
        <is>
          <t>공업용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쌍청리 108-31</t>
        </is>
      </c>
      <c r="B2108" s="3" t="inlineStr">
        <is>
          <t>계획관리지역</t>
        </is>
      </c>
      <c r="C2108" s="3" t="inlineStr">
        <is>
          <t>공장용지</t>
        </is>
      </c>
      <c r="D2108" s="3" t="inlineStr">
        <is>
          <t>공장용지</t>
        </is>
      </c>
      <c r="E2108" s="3" t="inlineStr">
        <is>
          <t>매매</t>
        </is>
      </c>
      <c r="F2108" s="4" t="n">
        <v>30800</v>
      </c>
      <c r="G2108" s="4" t="n">
        <v>566</v>
      </c>
      <c r="H2108" s="4" t="n">
        <v>171</v>
      </c>
      <c r="I2108" s="5" t="n">
        <v>180.1</v>
      </c>
      <c r="J2108" s="5" t="n">
        <v>61</v>
      </c>
      <c r="K2108" s="3" t="inlineStr">
        <is>
          <t>접근성 좋은 토지,활용하기 좋은 토지 입니다</t>
        </is>
      </c>
      <c r="L2108" s="6">
        <f>HYPERLINK("https://fin.land.naver.com/articles/2652264870", "매물Link")</f>
        <v/>
      </c>
      <c r="M2108" s="6">
        <f>HYPERLINK("https://map.naver.com/p/search/오송읍 쌍청리 108-31", "지도Link")</f>
        <v/>
      </c>
      <c r="N2108" s="6">
        <f>HYPERLINK("http://www.eum.go.kr/web/ar/lu/luLandDet.jsp?pnu=4311325024101080031&amp;isNoScr=script&amp;mode=search", "토지이음")</f>
        <v/>
      </c>
      <c r="O2108" s="3" t="inlineStr">
        <is>
          <t>오송2단지창조</t>
        </is>
      </c>
      <c r="P2108" s="4" t="n">
        <v>1</v>
      </c>
      <c r="Q2108" s="4" t="n">
        <v>566</v>
      </c>
      <c r="R2108" s="3" t="inlineStr">
        <is>
          <t>지정되지않음</t>
        </is>
      </c>
      <c r="S2108" s="3" t="inlineStr">
        <is>
          <t>공업나지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오송읍 쌍청리 117-16</t>
        </is>
      </c>
      <c r="B2109" s="3" t="inlineStr">
        <is>
          <t>계획관리지역</t>
        </is>
      </c>
      <c r="C2109" s="3" t="inlineStr">
        <is>
          <t>임야</t>
        </is>
      </c>
      <c r="D2109" s="3" t="inlineStr">
        <is>
          <t>임야</t>
        </is>
      </c>
      <c r="E2109" s="3" t="inlineStr">
        <is>
          <t>매매</t>
        </is>
      </c>
      <c r="F2109" s="4" t="n">
        <v>100000</v>
      </c>
      <c r="G2109" s="4" t="n">
        <v>1701</v>
      </c>
      <c r="H2109" s="4" t="n">
        <v>515</v>
      </c>
      <c r="I2109" s="5" t="n">
        <v>194.2</v>
      </c>
      <c r="J2109" s="5" t="n">
        <v>59.3</v>
      </c>
      <c r="K2109" s="3" t="inlineStr">
        <is>
          <t>오송신도시의 계획관리지역으로 투자가치가 좋음</t>
        </is>
      </c>
      <c r="L2109" s="6">
        <f>HYPERLINK("https://fin.land.naver.com/articles/2653540623", "매물Link")</f>
        <v/>
      </c>
      <c r="M2109" s="6">
        <f>HYPERLINK("https://map.naver.com/p/search/오송읍 쌍청리 117-16", "지도Link")</f>
        <v/>
      </c>
      <c r="N2109" s="6">
        <f>HYPERLINK("http://www.eum.go.kr/web/ar/lu/luLandDet.jsp?pnu=4311325024101170016&amp;isNoScr=script&amp;mode=search", "토지이음")</f>
        <v/>
      </c>
      <c r="O2109" s="3" t="inlineStr">
        <is>
          <t>가람</t>
        </is>
      </c>
      <c r="P2109" s="4" t="n">
        <v>1</v>
      </c>
      <c r="Q2109" s="4" t="n">
        <v>1701</v>
      </c>
      <c r="R2109" s="3" t="inlineStr">
        <is>
          <t>지정되지않음</t>
        </is>
      </c>
      <c r="S2109" s="3" t="inlineStr">
        <is>
          <t>전기타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오송읍 쌍청리 124-3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23100</v>
      </c>
      <c r="G2110" s="4" t="n">
        <v>362</v>
      </c>
      <c r="H2110" s="4" t="n">
        <v>110</v>
      </c>
      <c r="I2110" s="5" t="n">
        <v>210</v>
      </c>
      <c r="J2110" s="5" t="n">
        <v>69</v>
      </c>
      <c r="K2110" s="3" t="inlineStr">
        <is>
          <t>오송 제1 생명과학단지 내주변 토지 매매</t>
        </is>
      </c>
      <c r="L2110" s="6">
        <f>HYPERLINK("https://fin.land.naver.com/articles/2654526681", "매물Link")</f>
        <v/>
      </c>
      <c r="M2110" s="6">
        <f>HYPERLINK("https://map.naver.com/p/search/오송읍 쌍청리 124-3", "지도Link")</f>
        <v/>
      </c>
      <c r="N2110" s="6">
        <f>HYPERLINK("http://www.eum.go.kr/web/ar/lu/luLandDet.jsp?pnu=4311325024101240003&amp;isNoScr=script&amp;mode=search", "토지이음")</f>
        <v/>
      </c>
      <c r="O2110" s="3" t="inlineStr">
        <is>
          <t>365</t>
        </is>
      </c>
      <c r="P2110" s="4" t="n">
        <v>1</v>
      </c>
      <c r="Q2110" s="4" t="n">
        <v>362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오송읍 쌍청리 165-3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53000</v>
      </c>
      <c r="G2111" s="4" t="n">
        <v>751</v>
      </c>
      <c r="H2111" s="4" t="n">
        <v>227</v>
      </c>
      <c r="I2111" s="5" t="n">
        <v>233.5</v>
      </c>
      <c r="J2111" s="5" t="n">
        <v>48.6</v>
      </c>
      <c r="K2111" s="3" t="inlineStr">
        <is>
          <t>매매. 임대. 2가지 선택지 임대 임차인 원하면 근린생활시설 신축</t>
        </is>
      </c>
      <c r="L2111" s="6">
        <f>HYPERLINK("https://fin.land.naver.com/articles/2651280466", "매물Link")</f>
        <v/>
      </c>
      <c r="M2111" s="6">
        <f>HYPERLINK("https://map.naver.com/p/search/오송읍 쌍청리 165-3", "지도Link")</f>
        <v/>
      </c>
      <c r="N2111" s="6">
        <f>HYPERLINK("http://www.eum.go.kr/web/ar/lu/luLandDet.jsp?pnu=4311325024101650003&amp;isNoScr=script&amp;mode=search", "토지이음")</f>
        <v/>
      </c>
      <c r="O2111" s="3" t="inlineStr">
        <is>
          <t>오송퍼스트영웅</t>
        </is>
      </c>
      <c r="P2111" s="4" t="n">
        <v>1</v>
      </c>
      <c r="Q2111" s="4" t="n">
        <v>751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부정형</t>
        </is>
      </c>
      <c r="V2111" s="3" t="inlineStr">
        <is>
          <t>세로한면(가)</t>
        </is>
      </c>
    </row>
    <row r="2112">
      <c r="A2112" s="3" t="inlineStr">
        <is>
          <t>오송읍 쌍청리 29-1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53500</v>
      </c>
      <c r="G2112" s="4" t="n">
        <v>2266</v>
      </c>
      <c r="H2112" s="4" t="n">
        <v>685</v>
      </c>
      <c r="I2112" s="5" t="n">
        <v>78.09999999999999</v>
      </c>
      <c r="J2112" s="5" t="n">
        <v>31.9</v>
      </c>
      <c r="K2112" s="3" t="inlineStr">
        <is>
          <t>대한제지 인근 오송역 근거리 농림지역 토지 급매  도로접함  대토에 적합</t>
        </is>
      </c>
      <c r="L2112" s="6">
        <f>HYPERLINK("https://fin.land.naver.com/articles/2654653082", "매물Link")</f>
        <v/>
      </c>
      <c r="M2112" s="6">
        <f>HYPERLINK("https://map.naver.com/p/search/오송읍 쌍청리 29-1", "지도Link")</f>
        <v/>
      </c>
      <c r="N2112" s="6">
        <f>HYPERLINK("http://www.eum.go.kr/web/ar/lu/luLandDet.jsp?pnu=4311325024100290001&amp;isNoScr=script&amp;mode=search", "토지이음")</f>
        <v/>
      </c>
      <c r="O2112" s="3" t="inlineStr">
        <is>
          <t>오송퍼스트영웅</t>
        </is>
      </c>
      <c r="P2112" s="4" t="n">
        <v>1</v>
      </c>
      <c r="Q2112" s="4" t="n">
        <v>2266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쌍청리 317-7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118000</v>
      </c>
      <c r="G2113" s="4" t="n">
        <v>1297</v>
      </c>
      <c r="H2113" s="4" t="n">
        <v>392</v>
      </c>
      <c r="I2113" s="5" t="n">
        <v>301</v>
      </c>
      <c r="J2113" s="5" t="n">
        <v>111.3</v>
      </c>
      <c r="K2113" s="3" t="inlineStr">
        <is>
          <t>식약청인접한 2차선 지방도접 사옥부지 또는 근생 용지 추천물건</t>
        </is>
      </c>
      <c r="L2113" s="6">
        <f>HYPERLINK("https://fin.land.naver.com/articles/2654114599", "매물Link")</f>
        <v/>
      </c>
      <c r="M2113" s="6">
        <f>HYPERLINK("https://map.naver.com/p/search/오송읍 쌍청리 317-7", "지도Link")</f>
        <v/>
      </c>
      <c r="N2113" s="6">
        <f>HYPERLINK("http://www.eum.go.kr/web/ar/lu/luLandDet.jsp?pnu=4311325024103170007&amp;isNoScr=script&amp;mode=search", "토지이음")</f>
        <v/>
      </c>
      <c r="O2113" s="3" t="inlineStr">
        <is>
          <t>오송k랜드</t>
        </is>
      </c>
      <c r="P2113" s="4" t="n">
        <v>1</v>
      </c>
      <c r="Q2113" s="4" t="n">
        <v>441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소로한면</t>
        </is>
      </c>
    </row>
    <row r="2114">
      <c r="A2114" s="3" t="inlineStr">
        <is>
          <t>오송읍 쌍청리 429-4</t>
        </is>
      </c>
      <c r="B2114" s="3" t="inlineStr">
        <is>
          <t>농림지역</t>
        </is>
      </c>
      <c r="C2114" s="3" t="inlineStr">
        <is>
          <t>과수원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73800</v>
      </c>
      <c r="G2114" s="4" t="n">
        <v>2440</v>
      </c>
      <c r="H2114" s="4" t="n">
        <v>738</v>
      </c>
      <c r="I2114" s="5" t="n">
        <v>100</v>
      </c>
      <c r="J2114" s="5" t="n">
        <v>35.7</v>
      </c>
      <c r="K2114" s="3" t="inlineStr">
        <is>
          <t>꿀배 꿀사과 전용 과수원 정사각으로 예쁜땅 오송의 최적의 투자 요충지</t>
        </is>
      </c>
      <c r="L2114" s="6">
        <f>HYPERLINK("https://fin.land.naver.com/articles/2651743273", "매물Link")</f>
        <v/>
      </c>
      <c r="M2114" s="6">
        <f>HYPERLINK("https://map.naver.com/p/search/오송읍 쌍청리 429-4", "지도Link")</f>
        <v/>
      </c>
      <c r="N2114" s="6">
        <f>HYPERLINK("http://www.eum.go.kr/web/ar/lu/luLandDet.jsp?pnu=4311325024104290004&amp;isNoScr=script&amp;mode=search", "토지이음")</f>
        <v/>
      </c>
      <c r="O2114" s="3" t="inlineStr">
        <is>
          <t>대한</t>
        </is>
      </c>
      <c r="P2114" s="4" t="n">
        <v>1</v>
      </c>
      <c r="Q2114" s="4" t="n">
        <v>2440</v>
      </c>
      <c r="R2114" s="3" t="inlineStr">
        <is>
          <t>지정되지않음</t>
        </is>
      </c>
      <c r="S2114" s="3" t="inlineStr">
        <is>
          <t>과수원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451-2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80000</v>
      </c>
      <c r="G2115" s="4" t="n">
        <v>3273</v>
      </c>
      <c r="H2115" s="4" t="n">
        <v>990</v>
      </c>
      <c r="I2115" s="5" t="n">
        <v>80.8</v>
      </c>
      <c r="J2115" s="5" t="n">
        <v>35.7</v>
      </c>
      <c r="K2115" s="3" t="inlineStr">
        <is>
          <t>투자가치있는 곳에 위치한 토지</t>
        </is>
      </c>
      <c r="L2115" s="6">
        <f>HYPERLINK("https://fin.land.naver.com/articles/2650865239", "매물Link")</f>
        <v/>
      </c>
      <c r="M2115" s="6">
        <f>HYPERLINK("https://map.naver.com/p/search/오송읍 쌍청리 451-2", "지도Link")</f>
        <v/>
      </c>
      <c r="N2115" s="6">
        <f>HYPERLINK("http://www.eum.go.kr/web/ar/lu/luLandDet.jsp?pnu=4311325024104510002&amp;isNoScr=script&amp;mode=search", "토지이음")</f>
        <v/>
      </c>
      <c r="O2115" s="3" t="inlineStr">
        <is>
          <t>굿모닝</t>
        </is>
      </c>
      <c r="P2115" s="4" t="n">
        <v>1</v>
      </c>
      <c r="Q2115" s="4" t="n">
        <v>3273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세로장방</t>
        </is>
      </c>
      <c r="V2115" s="3" t="inlineStr">
        <is>
          <t>세로한면(가)</t>
        </is>
      </c>
    </row>
    <row r="2116">
      <c r="A2116" s="3" t="inlineStr">
        <is>
          <t>오송읍 쌍청리 454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121200</v>
      </c>
      <c r="G2116" s="4" t="n">
        <v>4000</v>
      </c>
      <c r="H2116" s="4" t="n">
        <v>1210</v>
      </c>
      <c r="I2116" s="5" t="n">
        <v>100.2</v>
      </c>
      <c r="J2116" s="5" t="n">
        <v>35.7</v>
      </c>
      <c r="K2116" s="3" t="inlineStr">
        <is>
          <t>오송읍 쌍청리에 있는 토지로 현재 답으로 이용중임</t>
        </is>
      </c>
      <c r="L2116" s="6">
        <f>HYPERLINK("https://fin.land.naver.com/articles/2652419853", "매물Link")</f>
        <v/>
      </c>
      <c r="M2116" s="6">
        <f>HYPERLINK("https://map.naver.com/p/search/오송읍 쌍청리 454", "지도Link")</f>
        <v/>
      </c>
      <c r="N2116" s="6">
        <f>HYPERLINK("http://www.eum.go.kr/web/ar/lu/luLandDet.jsp?pnu=4311325024104540000&amp;isNoScr=script&amp;mode=search", "토지이음")</f>
        <v/>
      </c>
      <c r="O2116" s="3" t="inlineStr">
        <is>
          <t>산성</t>
        </is>
      </c>
      <c r="P2116" s="4" t="n">
        <v>1</v>
      </c>
      <c r="Q2116" s="4" t="n">
        <v>4000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세로한면(가)</t>
        </is>
      </c>
    </row>
    <row r="2117">
      <c r="A2117" s="3" t="inlineStr">
        <is>
          <t>오송읍 쌍청리 463</t>
        </is>
      </c>
      <c r="B2117" s="3" t="inlineStr">
        <is>
          <t>농림지역</t>
        </is>
      </c>
      <c r="C2117" s="3" t="inlineStr">
        <is>
          <t>과수원</t>
        </is>
      </c>
      <c r="D2117" s="3" t="inlineStr">
        <is>
          <t>과수원</t>
        </is>
      </c>
      <c r="E2117" s="3" t="inlineStr">
        <is>
          <t>매매</t>
        </is>
      </c>
      <c r="F2117" s="4" t="n">
        <v>105000</v>
      </c>
      <c r="G2117" s="4" t="n">
        <v>4182</v>
      </c>
      <c r="H2117" s="4" t="n">
        <v>1265</v>
      </c>
      <c r="I2117" s="5" t="n">
        <v>83</v>
      </c>
      <c r="J2117" s="5" t="n">
        <v>35.7</v>
      </c>
      <c r="K2117" s="3" t="inlineStr">
        <is>
          <t>nan</t>
        </is>
      </c>
      <c r="L2117" s="6">
        <f>HYPERLINK("https://fin.land.naver.com/articles/2654653133", "매물Link")</f>
        <v/>
      </c>
      <c r="M2117" s="6">
        <f>HYPERLINK("https://map.naver.com/p/search/오송읍 쌍청리 463", "지도Link")</f>
        <v/>
      </c>
      <c r="N2117" s="6">
        <f>HYPERLINK("http://www.eum.go.kr/web/ar/lu/luLandDet.jsp?pnu=4311325024104630000&amp;isNoScr=script&amp;mode=search", "토지이음")</f>
        <v/>
      </c>
      <c r="O2117" s="3" t="inlineStr">
        <is>
          <t>오송퍼스트영웅</t>
        </is>
      </c>
      <c r="P2117" s="4" t="n">
        <v>1</v>
      </c>
      <c r="Q2117" s="4" t="n">
        <v>4182</v>
      </c>
      <c r="R2117" s="3" t="inlineStr">
        <is>
          <t>지정되지않음</t>
        </is>
      </c>
      <c r="S2117" s="3" t="inlineStr">
        <is>
          <t>과수원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세로한면(가)</t>
        </is>
      </c>
    </row>
    <row r="2118">
      <c r="A2118" s="3" t="inlineStr">
        <is>
          <t>오송읍 쌍청리 498</t>
        </is>
      </c>
      <c r="B2118" s="3" t="inlineStr">
        <is>
          <t>계획관리지역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180000</v>
      </c>
      <c r="G2118" s="4" t="n">
        <v>2188</v>
      </c>
      <c r="H2118" s="4" t="n">
        <v>662</v>
      </c>
      <c r="I2118" s="5" t="n">
        <v>271.9</v>
      </c>
      <c r="J2118" s="5" t="n">
        <v>67.5</v>
      </c>
      <c r="K2118" s="3" t="inlineStr">
        <is>
          <t>오송과학단지 인접하고 2차선도로에 접한 용도 다양성 우위</t>
        </is>
      </c>
      <c r="L2118" s="6">
        <f>HYPERLINK("https://fin.land.naver.com/articles/2655312723", "매물Link")</f>
        <v/>
      </c>
      <c r="M2118" s="6">
        <f>HYPERLINK("https://map.naver.com/p/search/오송읍 쌍청리 498", "지도Link")</f>
        <v/>
      </c>
      <c r="N2118" s="6">
        <f>HYPERLINK("http://www.eum.go.kr/web/ar/lu/luLandDet.jsp?pnu=4311325024104980000&amp;isNoScr=script&amp;mode=search", "토지이음")</f>
        <v/>
      </c>
      <c r="O2118" s="3" t="inlineStr">
        <is>
          <t>오송k랜드</t>
        </is>
      </c>
      <c r="P2118" s="4" t="n">
        <v>1</v>
      </c>
      <c r="Q2118" s="4" t="n">
        <v>2099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세로한면(불)</t>
        </is>
      </c>
    </row>
    <row r="2119">
      <c r="A2119" s="3" t="inlineStr">
        <is>
          <t>오송읍 쌍청리 498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172000</v>
      </c>
      <c r="G2119" s="4" t="n">
        <v>2188</v>
      </c>
      <c r="H2119" s="4" t="n">
        <v>662</v>
      </c>
      <c r="I2119" s="5" t="n">
        <v>259.8</v>
      </c>
      <c r="J2119" s="5" t="n">
        <v>67.5</v>
      </c>
      <c r="K2119" s="3" t="inlineStr">
        <is>
          <t>계획관리 성장관리 계획 구역 오송역 인근 오스크 컨벤션 오픈 중</t>
        </is>
      </c>
      <c r="L2119" s="6">
        <f>HYPERLINK("https://fin.land.naver.com/articles/2651280120", "매물Link")</f>
        <v/>
      </c>
      <c r="M2119" s="6">
        <f>HYPERLINK("https://map.naver.com/p/search/오송읍 쌍청리 498", "지도Link")</f>
        <v/>
      </c>
      <c r="N2119" s="6">
        <f>HYPERLINK("http://www.eum.go.kr/web/ar/lu/luLandDet.jsp?pnu=4311325024104980000&amp;isNoScr=script&amp;mode=search", "토지이음")</f>
        <v/>
      </c>
      <c r="O2119" s="3" t="inlineStr">
        <is>
          <t>오송퍼스트영웅</t>
        </is>
      </c>
      <c r="P2119" s="4" t="n">
        <v>1</v>
      </c>
      <c r="Q2119" s="4" t="n">
        <v>2099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자루형</t>
        </is>
      </c>
      <c r="V2119" s="3" t="inlineStr">
        <is>
          <t>세로한면(불)</t>
        </is>
      </c>
    </row>
    <row r="2120">
      <c r="A2120" s="3" t="inlineStr">
        <is>
          <t>오송읍 쌍청리 539-2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30000</v>
      </c>
      <c r="G2120" s="4" t="n">
        <v>4122</v>
      </c>
      <c r="H2120" s="4" t="n">
        <v>1247</v>
      </c>
      <c r="I2120" s="5" t="n">
        <v>24.1</v>
      </c>
      <c r="J2120" s="5" t="n">
        <v>18</v>
      </c>
      <c r="K2120" s="3" t="inlineStr">
        <is>
          <t>오송읍 쌍청리 농지 급매 농지원부 대토 투자 장기보유등 추천</t>
        </is>
      </c>
      <c r="L2120" s="6">
        <f>HYPERLINK("https://fin.land.naver.com/articles/2651258350", "매물Link")</f>
        <v/>
      </c>
      <c r="M2120" s="6">
        <f>HYPERLINK("https://map.naver.com/p/search/오송읍 쌍청리 539-2", "지도Link")</f>
        <v/>
      </c>
      <c r="N2120" s="6">
        <f>HYPERLINK("http://www.eum.go.kr/web/ar/lu/luLandDet.jsp?pnu=4311325024105390002&amp;isNoScr=script&amp;mode=search",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2208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가로장방</t>
        </is>
      </c>
      <c r="V2120" s="3" t="inlineStr">
        <is>
          <t>맹지</t>
        </is>
      </c>
    </row>
    <row r="2121">
      <c r="A2121" s="3" t="inlineStr">
        <is>
          <t>오송읍 연제리 527-1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88000</v>
      </c>
      <c r="G2121" s="4" t="n">
        <v>1825</v>
      </c>
      <c r="H2121" s="4" t="n">
        <v>552</v>
      </c>
      <c r="I2121" s="5" t="n">
        <v>159.4</v>
      </c>
      <c r="J2121" s="5" t="n">
        <v>59.4</v>
      </c>
      <c r="K2121" s="3" t="inlineStr">
        <is>
          <t>지금 잡아야 할 핵심 입지 매물</t>
        </is>
      </c>
      <c r="L2121" s="6">
        <f>HYPERLINK("https://fin.land.naver.com/articles/2651283863", "매물Link")</f>
        <v/>
      </c>
      <c r="M2121" s="6">
        <f>HYPERLINK("https://map.naver.com/p/search/오송읍 연제리 527-1", "지도Link")</f>
        <v/>
      </c>
      <c r="N2121" s="6">
        <f>HYPERLINK("http://www.eum.go.kr/web/ar/lu/luLandDet.jsp?pnu=4311325026105270001&amp;isNoScr=script&amp;mode=search",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1825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오송읍 연제리 536-4</t>
        </is>
      </c>
      <c r="B2122" s="3" t="inlineStr">
        <is>
          <t>계획관리지역</t>
        </is>
      </c>
      <c r="C2122" s="3" t="inlineStr">
        <is>
          <t>대</t>
        </is>
      </c>
      <c r="D2122" s="3" t="inlineStr">
        <is>
          <t>대</t>
        </is>
      </c>
      <c r="E2122" s="3" t="inlineStr">
        <is>
          <t>매매</t>
        </is>
      </c>
      <c r="F2122" s="4" t="n">
        <v>127000</v>
      </c>
      <c r="G2122" s="4" t="n">
        <v>1197</v>
      </c>
      <c r="H2122" s="4" t="n">
        <v>362</v>
      </c>
      <c r="I2122" s="5" t="n">
        <v>350.8</v>
      </c>
      <c r="J2122" s="5" t="n">
        <v>122</v>
      </c>
      <c r="K2122" s="3" t="inlineStr">
        <is>
          <t>오송 호수공원 뷰의 희소가치 높은 부지</t>
        </is>
      </c>
      <c r="L2122" s="6">
        <f>HYPERLINK("https://fin.land.naver.com/articles/2656448121", "매물Link")</f>
        <v/>
      </c>
      <c r="M2122" s="6">
        <f>HYPERLINK("https://map.naver.com/p/search/오송읍 연제리 536-4", "지도Link")</f>
        <v/>
      </c>
      <c r="N2122" s="6">
        <f>HYPERLINK("http://www.eum.go.kr/web/ar/lu/luLandDet.jsp?pnu=4311325026105360004&amp;isNoScr=script&amp;mode=search",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582</v>
      </c>
      <c r="R2122" s="3" t="inlineStr">
        <is>
          <t>지정되지않음</t>
        </is>
      </c>
      <c r="S2122" s="3" t="inlineStr">
        <is>
          <t>단독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연제리 540-20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300000</v>
      </c>
      <c r="G2123" s="4" t="n">
        <v>1608</v>
      </c>
      <c r="H2123" s="4" t="n">
        <v>486</v>
      </c>
      <c r="I2123" s="5" t="n">
        <v>617.3</v>
      </c>
      <c r="J2123" s="5" t="n">
        <v>189.7</v>
      </c>
      <c r="K2123" s="3" t="inlineStr">
        <is>
          <t>오송 내 최고의 위치 호수공원 품은 토지로서 미래가치 높은 토지</t>
        </is>
      </c>
      <c r="L2123" s="6">
        <f>HYPERLINK("https://fin.land.naver.com/articles/2651576082", "매물Link")</f>
        <v/>
      </c>
      <c r="M2123" s="6">
        <f>HYPERLINK("https://map.naver.com/p/search/오송읍 연제리 540-20", "지도Link")</f>
        <v/>
      </c>
      <c r="N2123" s="6">
        <f>HYPERLINK("http://www.eum.go.kr/web/ar/lu/luLandDet.jsp?pnu=4311325026105400020&amp;isNoScr=script&amp;mode=search", "토지이음")</f>
        <v/>
      </c>
      <c r="O2123" s="3" t="inlineStr">
        <is>
          <t>여기로</t>
        </is>
      </c>
      <c r="P2123" s="4" t="n">
        <v>1</v>
      </c>
      <c r="Q2123" s="4" t="n">
        <v>1332</v>
      </c>
      <c r="R2123" s="3" t="inlineStr">
        <is>
          <t>지정되지않음</t>
        </is>
      </c>
      <c r="S2123" s="3" t="inlineStr">
        <is>
          <t>상업용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오송읍 연제리 540-37</t>
        </is>
      </c>
      <c r="B2124" s="3" t="inlineStr">
        <is>
          <t>계획관리지역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70000</v>
      </c>
      <c r="G2124" s="4" t="n">
        <v>500</v>
      </c>
      <c r="H2124" s="4" t="n">
        <v>151</v>
      </c>
      <c r="I2124" s="5" t="n">
        <v>463.6</v>
      </c>
      <c r="J2124" s="5" t="n">
        <v>161.4</v>
      </c>
      <c r="K2124" s="3" t="inlineStr">
        <is>
          <t>호수공원 인접, 다용도 건축 가능,가격협의 가능</t>
        </is>
      </c>
      <c r="L2124" s="6">
        <f>HYPERLINK("https://fin.land.naver.com/articles/2651622199", "매물Link")</f>
        <v/>
      </c>
      <c r="M2124" s="6">
        <f>HYPERLINK("https://map.naver.com/p/search/오송읍 연제리 540-37", "지도Link")</f>
        <v/>
      </c>
      <c r="N2124" s="6">
        <f>HYPERLINK("http://www.eum.go.kr/web/ar/lu/luLandDet.jsp?pnu=4311325026105400037&amp;isNoScr=script&amp;mode=search", "토지이음")</f>
        <v/>
      </c>
      <c r="O2124" s="3" t="inlineStr">
        <is>
          <t>테크노힐데스한빛사무소</t>
        </is>
      </c>
      <c r="P2124" s="4" t="n">
        <v>1</v>
      </c>
      <c r="Q2124" s="4" t="n">
        <v>500</v>
      </c>
      <c r="R2124" s="3" t="inlineStr">
        <is>
          <t>지정되지않음</t>
        </is>
      </c>
      <c r="S2124" s="3" t="inlineStr">
        <is>
          <t>주상나지</t>
        </is>
      </c>
      <c r="T2124" s="3" t="inlineStr">
        <is>
          <t>평지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오송읍 연제리 664-2</t>
        </is>
      </c>
      <c r="B2125" s="3" t="inlineStr">
        <is>
          <t>준공업지역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2000000</v>
      </c>
      <c r="G2125" s="4" t="n">
        <v>9917</v>
      </c>
      <c r="H2125" s="4" t="n">
        <v>3000</v>
      </c>
      <c r="I2125" s="5" t="n">
        <v>666.7</v>
      </c>
      <c r="J2125" s="5" t="n">
        <v>199.2</v>
      </c>
      <c r="K2125" s="3" t="inlineStr">
        <is>
          <t>현재 가치는 물론 오송 개발과 산업 인프라 확장에 따른 미래가치까지 기대</t>
        </is>
      </c>
      <c r="L2125" s="6">
        <f>HYPERLINK("https://fin.land.naver.com/articles/2655933095", "매물Link")</f>
        <v/>
      </c>
      <c r="M2125" s="6">
        <f>HYPERLINK("https://map.naver.com/p/search/오송읍 연제리 664-2", "지도Link")</f>
        <v/>
      </c>
      <c r="N2125" s="6">
        <f>HYPERLINK("http://www.eum.go.kr/web/ar/lu/luLandDet.jsp?pnu=4311325026106640002&amp;isNoScr=script&amp;mode=search", "토지이음")</f>
        <v/>
      </c>
      <c r="O2125" s="3" t="inlineStr">
        <is>
          <t>대한</t>
        </is>
      </c>
      <c r="P2125" s="4" t="n">
        <v>1</v>
      </c>
      <c r="Q2125" s="4" t="n">
        <v>4958.7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중로한면</t>
        </is>
      </c>
    </row>
    <row r="2126">
      <c r="A2126" s="3" t="inlineStr">
        <is>
          <t>오송읍 연제리 668</t>
        </is>
      </c>
      <c r="B2126" s="3" t="inlineStr">
        <is>
          <t>일반상업지역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820000</v>
      </c>
      <c r="G2126" s="4" t="n">
        <v>1593</v>
      </c>
      <c r="H2126" s="4" t="n">
        <v>482</v>
      </c>
      <c r="I2126" s="5" t="n">
        <v>1701.2</v>
      </c>
      <c r="J2126" s="5" t="n">
        <v>619.8</v>
      </c>
      <c r="K2126" s="3" t="inlineStr">
        <is>
          <t>외1필지 호텔이나 오피스텔로 투자 적합</t>
        </is>
      </c>
      <c r="L2126" s="6">
        <f>HYPERLINK("https://fin.land.naver.com/articles/2656409555", "매물Link")</f>
        <v/>
      </c>
      <c r="M2126" s="6">
        <f>HYPERLINK("https://map.naver.com/p/search/오송읍 연제리 668", "지도Link")</f>
        <v/>
      </c>
      <c r="N2126" s="6">
        <f>HYPERLINK("http://www.eum.go.kr/web/ar/lu/luLandDet.jsp?pnu=4311325026106680000&amp;isNoScr=script&amp;mode=search", "토지이음")</f>
        <v/>
      </c>
      <c r="O2126" s="3" t="inlineStr">
        <is>
          <t>옥산하늘채 주식회사</t>
        </is>
      </c>
      <c r="P2126" s="4" t="n">
        <v>1</v>
      </c>
      <c r="Q2126" s="4" t="n">
        <v>803.1</v>
      </c>
      <c r="R2126" s="3" t="inlineStr">
        <is>
          <t>지정되지않음</t>
        </is>
      </c>
      <c r="S2126" s="3" t="inlineStr">
        <is>
          <t>상업나지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광대소각</t>
        </is>
      </c>
    </row>
    <row r="2127">
      <c r="A2127" s="3" t="inlineStr">
        <is>
          <t>오송읍 연제리 668</t>
        </is>
      </c>
      <c r="B2127" s="3" t="inlineStr">
        <is>
          <t>일반상업지역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820000</v>
      </c>
      <c r="G2127" s="4" t="n">
        <v>1593</v>
      </c>
      <c r="H2127" s="4" t="n">
        <v>482</v>
      </c>
      <c r="I2127" s="5" t="n">
        <v>1701.2</v>
      </c>
      <c r="J2127" s="5" t="n">
        <v>619.8</v>
      </c>
      <c r="K2127" s="3" t="inlineStr">
        <is>
          <t>nan</t>
        </is>
      </c>
      <c r="L2127" s="6">
        <f>HYPERLINK("https://fin.land.naver.com/articles/2651794517", "매물Link")</f>
        <v/>
      </c>
      <c r="M2127" s="6">
        <f>HYPERLINK("https://map.naver.com/p/search/오송읍 연제리 668", "지도Link")</f>
        <v/>
      </c>
      <c r="N2127" s="6">
        <f>HYPERLINK("http://www.eum.go.kr/web/ar/lu/luLandDet.jsp?pnu=4311325026106680000&amp;isNoScr=script&amp;mode=search", "토지이음")</f>
        <v/>
      </c>
      <c r="O2127" s="3" t="inlineStr">
        <is>
          <t>바른</t>
        </is>
      </c>
      <c r="P2127" s="4" t="n">
        <v>1</v>
      </c>
      <c r="Q2127" s="4" t="n">
        <v>803.1</v>
      </c>
      <c r="R2127" s="3" t="inlineStr">
        <is>
          <t>지정되지않음</t>
        </is>
      </c>
      <c r="S2127" s="3" t="inlineStr">
        <is>
          <t>상업나지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광대소각</t>
        </is>
      </c>
    </row>
    <row r="2128">
      <c r="A2128" s="3" t="inlineStr">
        <is>
          <t>오송읍 연제리 692</t>
        </is>
      </c>
      <c r="B2128" s="3" t="inlineStr">
        <is>
          <t>일반상업지역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135000</v>
      </c>
      <c r="G2128" s="4" t="n">
        <v>593</v>
      </c>
      <c r="H2128" s="4" t="n">
        <v>179</v>
      </c>
      <c r="I2128" s="5" t="n">
        <v>754.2</v>
      </c>
      <c r="J2128" s="5" t="n">
        <v>301.3</v>
      </c>
      <c r="K2128" s="3" t="inlineStr">
        <is>
          <t>nan</t>
        </is>
      </c>
      <c r="L2128" s="6">
        <f>HYPERLINK("https://fin.land.naver.com/articles/2654375790", "매물Link")</f>
        <v/>
      </c>
      <c r="M2128" s="6">
        <f>HYPERLINK("https://map.naver.com/p/search/오송읍 연제리 692", "지도Link")</f>
        <v/>
      </c>
      <c r="N2128" s="6">
        <f>HYPERLINK("http://www.eum.go.kr/web/ar/lu/luLandDet.jsp?pnu=4311325026106920000&amp;isNoScr=script&amp;mode=search",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593.3</v>
      </c>
      <c r="R2128" s="3" t="inlineStr">
        <is>
          <t>지정되지않음</t>
        </is>
      </c>
      <c r="S2128" s="3" t="inlineStr">
        <is>
          <t>상업나지</t>
        </is>
      </c>
      <c r="T2128" s="3" t="inlineStr">
        <is>
          <t>평지</t>
        </is>
      </c>
      <c r="U2128" s="3" t="inlineStr">
        <is>
          <t>세로장방</t>
        </is>
      </c>
      <c r="V2128" s="3" t="inlineStr">
        <is>
          <t>광대소각</t>
        </is>
      </c>
    </row>
    <row r="2129">
      <c r="A2129" s="3" t="inlineStr">
        <is>
          <t>오송읍 연제리 703</t>
        </is>
      </c>
      <c r="B2129" s="3" t="inlineStr">
        <is>
          <t>일반상업지역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270000</v>
      </c>
      <c r="G2129" s="4" t="n">
        <v>690</v>
      </c>
      <c r="H2129" s="4" t="n">
        <v>209</v>
      </c>
      <c r="I2129" s="5" t="n">
        <v>1291.9</v>
      </c>
      <c r="J2129" s="5" t="n">
        <v>809.3</v>
      </c>
      <c r="K2129" s="3" t="inlineStr">
        <is>
          <t>일반 상업지역, 상업 나지</t>
        </is>
      </c>
      <c r="L2129" s="6">
        <f>HYPERLINK("https://fin.land.naver.com/articles/2653363832", "매물Link")</f>
        <v/>
      </c>
      <c r="M2129" s="6">
        <f>HYPERLINK("https://map.naver.com/p/search/오송읍 연제리 703", "지도Link")</f>
        <v/>
      </c>
      <c r="N2129" s="6">
        <f>HYPERLINK("http://www.eum.go.kr/web/ar/lu/luLandDet.jsp?pnu=4311325026107030000&amp;isNoScr=script&amp;mode=search", "토지이음")</f>
        <v/>
      </c>
      <c r="O2129" s="3" t="inlineStr">
        <is>
          <t>딜  중개</t>
        </is>
      </c>
      <c r="P2129" s="4" t="n">
        <v>1</v>
      </c>
      <c r="Q2129" s="4" t="n">
        <v>690.3</v>
      </c>
      <c r="R2129" s="3" t="inlineStr">
        <is>
          <t>지정되지않음</t>
        </is>
      </c>
      <c r="S2129" s="3" t="inlineStr">
        <is>
          <t>상업나지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광대소각</t>
        </is>
      </c>
    </row>
    <row r="2130">
      <c r="A2130" s="3" t="inlineStr">
        <is>
          <t>오송읍 연제리 산 24-15</t>
        </is>
      </c>
      <c r="B2130" s="3" t="inlineStr">
        <is>
          <t>계획관리지역</t>
        </is>
      </c>
      <c r="C2130" s="3" t="inlineStr">
        <is>
          <t>임야</t>
        </is>
      </c>
      <c r="D2130" s="3" t="inlineStr">
        <is>
          <t>임야</t>
        </is>
      </c>
      <c r="E2130" s="3" t="inlineStr">
        <is>
          <t>매매</t>
        </is>
      </c>
      <c r="F2130" s="4" t="n">
        <v>140000</v>
      </c>
      <c r="G2130" s="4" t="n">
        <v>1076</v>
      </c>
      <c r="H2130" s="4" t="n">
        <v>325</v>
      </c>
      <c r="I2130" s="5" t="n">
        <v>430.8</v>
      </c>
      <c r="J2130" s="5" t="n">
        <v>16.8</v>
      </c>
      <c r="K2130" s="3" t="inlineStr">
        <is>
          <t>호수공원뷰,미래상승가치높은</t>
        </is>
      </c>
      <c r="L2130" s="6">
        <f>HYPERLINK("https://fin.land.naver.com/articles/2651124726", "매물Link")</f>
        <v/>
      </c>
      <c r="M2130" s="6">
        <f>HYPERLINK("https://map.naver.com/p/search/오송읍 연제리 산 24-15", "지도Link")</f>
        <v/>
      </c>
      <c r="N2130" s="6">
        <f>HYPERLINK("http://www.eum.go.kr/web/ar/lu/luLandDet.jsp?pnu=4311325026200240015&amp;isNoScr=script&amp;mode=search", "토지이음")</f>
        <v/>
      </c>
      <c r="O2130" s="3" t="inlineStr">
        <is>
          <t>노블</t>
        </is>
      </c>
      <c r="P2130" s="4" t="n">
        <v>1</v>
      </c>
      <c r="Q2130" s="4" t="n">
        <v>1076</v>
      </c>
      <c r="R2130" s="3" t="inlineStr">
        <is>
          <t>지정되지않음</t>
        </is>
      </c>
      <c r="S2130" s="3" t="inlineStr">
        <is>
          <t>자연림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오송리 146-29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85000</v>
      </c>
      <c r="G2131" s="4" t="n">
        <v>372</v>
      </c>
      <c r="H2131" s="4" t="n">
        <v>113</v>
      </c>
      <c r="I2131" s="5" t="n">
        <v>752.2</v>
      </c>
      <c r="J2131" s="5" t="n">
        <v>166.3</v>
      </c>
      <c r="K2131" s="3" t="inlineStr">
        <is>
          <t>흥덕구 오송읍 오송역 부근에 위치한 대지로 향후 지가 상승 예상됨</t>
        </is>
      </c>
      <c r="L2131" s="6">
        <f>HYPERLINK("https://fin.land.naver.com/articles/2652419828", "매물Link")</f>
        <v/>
      </c>
      <c r="M2131" s="6">
        <f>HYPERLINK("https://map.naver.com/p/search/오송읍 오송리 146-29", "지도Link")</f>
        <v/>
      </c>
      <c r="N2131" s="6">
        <f>HYPERLINK("http://www.eum.go.kr/web/ar/lu/luLandDet.jsp?pnu=4311325028101460029&amp;isNoScr=script&amp;mode=search", "토지이음")</f>
        <v/>
      </c>
      <c r="O2131" s="3" t="inlineStr">
        <is>
          <t>산성</t>
        </is>
      </c>
      <c r="P2131" s="4" t="n">
        <v>1</v>
      </c>
      <c r="Q2131" s="4" t="n">
        <v>372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오송리 206-3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96000</v>
      </c>
      <c r="G2132" s="4" t="n">
        <v>635</v>
      </c>
      <c r="H2132" s="4" t="n">
        <v>192</v>
      </c>
      <c r="I2132" s="5" t="n">
        <v>500</v>
      </c>
      <c r="J2132" s="5" t="n">
        <v>159.6</v>
      </c>
      <c r="K2132" s="3" t="inlineStr">
        <is>
          <t>힐스테이트 오송역퍼스트 앞 토지 매매</t>
        </is>
      </c>
      <c r="L2132" s="6">
        <f>HYPERLINK("https://fin.land.naver.com/articles/2654525718", "매물Link")</f>
        <v/>
      </c>
      <c r="M2132" s="6">
        <f>HYPERLINK("https://map.naver.com/p/search/오송읍 오송리 206-3", "지도Link")</f>
        <v/>
      </c>
      <c r="N2132" s="6">
        <f>HYPERLINK("http://www.eum.go.kr/web/ar/lu/luLandDet.jsp?pnu=4311325028102060003&amp;isNoScr=script&amp;mode=search",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295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세로각지(가)</t>
        </is>
      </c>
    </row>
    <row r="2133">
      <c r="A2133" s="3" t="inlineStr">
        <is>
          <t>오송읍 오송리 224-2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81500</v>
      </c>
      <c r="G2133" s="4" t="n">
        <v>538</v>
      </c>
      <c r="H2133" s="4" t="n">
        <v>163</v>
      </c>
      <c r="I2133" s="5" t="n">
        <v>500</v>
      </c>
      <c r="J2133" s="5" t="n">
        <v>136.5</v>
      </c>
      <c r="K2133" s="3" t="inlineStr">
        <is>
          <t>3산단초입 투자물건 2필지</t>
        </is>
      </c>
      <c r="L2133" s="6">
        <f>HYPERLINK("https://fin.land.naver.com/articles/2656314925", "매물Link")</f>
        <v/>
      </c>
      <c r="M2133" s="6">
        <f>HYPERLINK("https://map.naver.com/p/search/오송읍 오송리 224-2", "지도Link")</f>
        <v/>
      </c>
      <c r="N2133" s="6">
        <f>HYPERLINK("http://www.eum.go.kr/web/ar/lu/luLandDet.jsp?pnu=4311325028102240002&amp;isNoScr=script&amp;mode=search", "토지이음")</f>
        <v/>
      </c>
      <c r="O2133" s="3" t="inlineStr">
        <is>
          <t>금송</t>
        </is>
      </c>
      <c r="P2133" s="4" t="n">
        <v>1</v>
      </c>
      <c r="Q2133" s="4" t="n">
        <v>182</v>
      </c>
      <c r="R2133" s="3" t="inlineStr">
        <is>
          <t>지정되지않음</t>
        </is>
      </c>
      <c r="S2133" s="3" t="inlineStr">
        <is>
          <t>단독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오송리 242-2</t>
        </is>
      </c>
      <c r="B2134" s="3" t="inlineStr">
        <is>
          <t>계획관리지역</t>
        </is>
      </c>
      <c r="C2134" s="3" t="inlineStr">
        <is>
          <t>주유소용지</t>
        </is>
      </c>
      <c r="D2134" s="3" t="inlineStr">
        <is>
          <t>주유소용지</t>
        </is>
      </c>
      <c r="E2134" s="3" t="inlineStr">
        <is>
          <t>매매</t>
        </is>
      </c>
      <c r="F2134" s="4" t="n">
        <v>250000</v>
      </c>
      <c r="G2134" s="4" t="n">
        <v>809</v>
      </c>
      <c r="H2134" s="4" t="n">
        <v>245</v>
      </c>
      <c r="I2134" s="5" t="n">
        <v>1020.4</v>
      </c>
      <c r="J2134" s="5" t="n">
        <v>313.2</v>
      </c>
      <c r="K2134" s="3" t="inlineStr">
        <is>
          <t>배후시장 탄탄한 6차선 대로변 토지</t>
        </is>
      </c>
      <c r="L2134" s="6">
        <f>HYPERLINK("https://fin.land.naver.com/articles/2651523803", "매물Link")</f>
        <v/>
      </c>
      <c r="M2134" s="6">
        <f>HYPERLINK("https://map.naver.com/p/search/오송읍 오송리 242-2", "지도Link")</f>
        <v/>
      </c>
      <c r="N2134" s="6">
        <f>HYPERLINK("http://www.eum.go.kr/web/ar/lu/luLandDet.jsp?pnu=4311325028102420002&amp;isNoScr=script&amp;mode=search", "토지이음")</f>
        <v/>
      </c>
      <c r="O2134" s="3" t="inlineStr">
        <is>
          <t>한국토지중개</t>
        </is>
      </c>
      <c r="P2134" s="4" t="n">
        <v>1</v>
      </c>
      <c r="Q2134" s="4" t="n">
        <v>810</v>
      </c>
      <c r="R2134" s="3" t="inlineStr">
        <is>
          <t>지정되지않음</t>
        </is>
      </c>
      <c r="S2134" s="3" t="inlineStr">
        <is>
          <t>주상용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광대로한면</t>
        </is>
      </c>
    </row>
    <row r="2135">
      <c r="A2135" s="3" t="inlineStr">
        <is>
          <t>오송읍 오송리 242-2</t>
        </is>
      </c>
      <c r="B2135" s="3" t="inlineStr">
        <is>
          <t>계획관리지역</t>
        </is>
      </c>
      <c r="C2135" s="3" t="inlineStr">
        <is>
          <t>주유소용지</t>
        </is>
      </c>
      <c r="D2135" s="3" t="inlineStr">
        <is>
          <t>주유소용지</t>
        </is>
      </c>
      <c r="E2135" s="3" t="inlineStr">
        <is>
          <t>매매</t>
        </is>
      </c>
      <c r="F2135" s="4" t="n">
        <v>245000</v>
      </c>
      <c r="G2135" s="4" t="n">
        <v>810</v>
      </c>
      <c r="H2135" s="4" t="n">
        <v>245</v>
      </c>
      <c r="I2135" s="5" t="n">
        <v>1000</v>
      </c>
      <c r="J2135" s="5" t="n">
        <v>313.2</v>
      </c>
      <c r="K2135" s="3" t="inlineStr">
        <is>
          <t>6차선변 주유소현 휴업중 매매</t>
        </is>
      </c>
      <c r="L2135" s="6">
        <f>HYPERLINK("https://fin.land.naver.com/articles/2654551158", "매물Link")</f>
        <v/>
      </c>
      <c r="M2135" s="6">
        <f>HYPERLINK("https://map.naver.com/p/search/오송읍 오송리 242-2", "지도Link")</f>
        <v/>
      </c>
      <c r="N2135" s="6">
        <f>HYPERLINK("http://www.eum.go.kr/web/ar/lu/luLandDet.jsp?pnu=4311325028102420002&amp;isNoScr=script&amp;mode=search", "토지이음")</f>
        <v/>
      </c>
      <c r="O2135" s="3" t="inlineStr">
        <is>
          <t>한국토지중개</t>
        </is>
      </c>
      <c r="P2135" s="4" t="n">
        <v>1</v>
      </c>
      <c r="Q2135" s="4" t="n">
        <v>810</v>
      </c>
      <c r="R2135" s="3" t="inlineStr">
        <is>
          <t>지정되지않음</t>
        </is>
      </c>
      <c r="S2135" s="3" t="inlineStr">
        <is>
          <t>주상용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광대로한면</t>
        </is>
      </c>
    </row>
    <row r="2136">
      <c r="A2136" s="3" t="inlineStr">
        <is>
          <t>오송읍 오송리 242-21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32000</v>
      </c>
      <c r="G2136" s="4" t="n">
        <v>300</v>
      </c>
      <c r="H2136" s="4" t="n">
        <v>91</v>
      </c>
      <c r="I2136" s="5" t="n">
        <v>351.6</v>
      </c>
      <c r="J2136" s="5" t="n">
        <v>84.5</v>
      </c>
      <c r="K2136" s="3" t="inlineStr">
        <is>
          <t>3산단 예정지 배후, 임대수익형 다가구 자리
3산단 배후지, 임대수익형</t>
        </is>
      </c>
      <c r="L2136" s="6">
        <f>HYPERLINK("https://fin.land.naver.com/articles/2656312916", "매물Link")</f>
        <v/>
      </c>
      <c r="M2136" s="6">
        <f>HYPERLINK("https://map.naver.com/p/search/오송읍 오송리 242-21", "지도Link")</f>
        <v/>
      </c>
      <c r="N2136" s="6">
        <f>HYPERLINK("http://www.eum.go.kr/web/ar/lu/luLandDet.jsp?pnu=4311325028102420021&amp;isNoScr=script&amp;mode=search", "토지이음")</f>
        <v/>
      </c>
      <c r="O2136" s="3" t="inlineStr">
        <is>
          <t>금송</t>
        </is>
      </c>
      <c r="P2136" s="4" t="n">
        <v>1</v>
      </c>
      <c r="Q2136" s="4" t="n">
        <v>165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오송읍 오송리 245-4</t>
        </is>
      </c>
      <c r="B2137" s="3" t="inlineStr">
        <is>
          <t>계획관리지역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120000</v>
      </c>
      <c r="G2137" s="4" t="n">
        <v>976</v>
      </c>
      <c r="H2137" s="4" t="n">
        <v>295</v>
      </c>
      <c r="I2137" s="5" t="n">
        <v>406.8</v>
      </c>
      <c r="J2137" s="5" t="n">
        <v>103.7</v>
      </c>
      <c r="K2137" s="3" t="inlineStr">
        <is>
          <t>오송3리 오송천주교회와 3산산단 경계부의 사업용 토지</t>
        </is>
      </c>
      <c r="L2137" s="6">
        <f>HYPERLINK("https://fin.land.naver.com/articles/2655313631", "매물Link")</f>
        <v/>
      </c>
      <c r="M2137" s="6">
        <f>HYPERLINK("https://map.naver.com/p/search/오송읍 오송리 245-4", "지도Link")</f>
        <v/>
      </c>
      <c r="N2137" s="6">
        <f>HYPERLINK("http://www.eum.go.kr/web/ar/lu/luLandDet.jsp?pnu=4311325028102450004&amp;isNoScr=script&amp;mode=search",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700</v>
      </c>
      <c r="R2137" s="3" t="inlineStr">
        <is>
          <t>지정되지않음</t>
        </is>
      </c>
      <c r="S2137" s="3" t="inlineStr">
        <is>
          <t>답기타</t>
        </is>
      </c>
      <c r="T2137" s="3" t="inlineStr">
        <is>
          <t>평지</t>
        </is>
      </c>
      <c r="U2137" s="3" t="inlineStr">
        <is>
          <t>부정형</t>
        </is>
      </c>
      <c r="V2137" s="3" t="inlineStr">
        <is>
          <t>세로한면(가)</t>
        </is>
      </c>
    </row>
    <row r="2138">
      <c r="A2138" s="3" t="inlineStr">
        <is>
          <t>오송읍 오송리 246-52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150000</v>
      </c>
      <c r="G2138" s="4" t="n">
        <v>911</v>
      </c>
      <c r="H2138" s="4" t="n">
        <v>276</v>
      </c>
      <c r="I2138" s="5" t="n">
        <v>543.5</v>
      </c>
      <c r="J2138" s="5" t="n">
        <v>163.6</v>
      </c>
      <c r="K2138" s="3" t="inlineStr">
        <is>
          <t>현재 나대지 3산단개발 호재로 투자가치 최고의땅</t>
        </is>
      </c>
      <c r="L2138" s="6">
        <f>HYPERLINK("https://fin.land.naver.com/articles/2651378175", "매물Link")</f>
        <v/>
      </c>
      <c r="M2138" s="6">
        <f>HYPERLINK("https://map.naver.com/p/search/오송읍 오송리 246-52", "지도Link")</f>
        <v/>
      </c>
      <c r="N2138" s="6">
        <f>HYPERLINK("http://www.eum.go.kr/web/ar/lu/luLandDet.jsp?pnu=4311325028102460052&amp;isNoScr=script&amp;mode=search", "토지이음")</f>
        <v/>
      </c>
      <c r="O2138" s="3" t="inlineStr">
        <is>
          <t>오송올래</t>
        </is>
      </c>
      <c r="P2138" s="4" t="n">
        <v>1</v>
      </c>
      <c r="Q2138" s="4" t="n">
        <v>667</v>
      </c>
      <c r="R2138" s="3" t="inlineStr">
        <is>
          <t>지정되지않음</t>
        </is>
      </c>
      <c r="S2138" s="3" t="inlineStr">
        <is>
          <t>공업용</t>
        </is>
      </c>
      <c r="T2138" s="3" t="inlineStr">
        <is>
          <t>평지</t>
        </is>
      </c>
      <c r="U2138" s="3" t="inlineStr">
        <is>
          <t>사다리형</t>
        </is>
      </c>
      <c r="V2138" s="3" t="inlineStr">
        <is>
          <t>세로한면(가)</t>
        </is>
      </c>
    </row>
    <row r="2139">
      <c r="A2139" s="3" t="inlineStr">
        <is>
          <t>오송읍 오송리 246-53</t>
        </is>
      </c>
      <c r="B2139" s="3" t="inlineStr">
        <is>
          <t>계획관리지역</t>
        </is>
      </c>
      <c r="C2139" s="3" t="inlineStr">
        <is>
          <t>전</t>
        </is>
      </c>
      <c r="D2139" s="3" t="inlineStr">
        <is>
          <t>전</t>
        </is>
      </c>
      <c r="E2139" s="3" t="inlineStr">
        <is>
          <t>매매</t>
        </is>
      </c>
      <c r="F2139" s="4" t="n">
        <v>330000</v>
      </c>
      <c r="G2139" s="4" t="n">
        <v>2011</v>
      </c>
      <c r="H2139" s="4" t="n">
        <v>608</v>
      </c>
      <c r="I2139" s="5" t="n">
        <v>542.8</v>
      </c>
      <c r="J2139" s="5" t="n">
        <v>110.3</v>
      </c>
      <c r="K2139" s="3" t="inlineStr">
        <is>
          <t>오송농협 36국도인접 계획관리지역,  실사업용 추천물건
오송제3산단 경</t>
        </is>
      </c>
      <c r="L2139" s="6">
        <f>HYPERLINK("https://fin.land.naver.com/articles/2655314466", "매물Link")</f>
        <v/>
      </c>
      <c r="M2139" s="6">
        <f>HYPERLINK("https://map.naver.com/p/search/오송읍 오송리 246-53", "지도Link")</f>
        <v/>
      </c>
      <c r="N2139" s="6">
        <f>HYPERLINK("http://www.eum.go.kr/web/ar/lu/luLandDet.jsp?pnu=4311325028102460053&amp;isNoScr=script&amp;mode=search", "토지이음")</f>
        <v/>
      </c>
      <c r="O2139" s="3" t="inlineStr">
        <is>
          <t>오송k랜드</t>
        </is>
      </c>
      <c r="P2139" s="4" t="n">
        <v>1</v>
      </c>
      <c r="Q2139" s="4" t="n">
        <v>2011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60-104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70000</v>
      </c>
      <c r="G2140" s="4" t="n">
        <v>286</v>
      </c>
      <c r="H2140" s="4" t="n">
        <v>87</v>
      </c>
      <c r="I2140" s="5" t="n">
        <v>804.6</v>
      </c>
      <c r="J2140" s="5" t="n">
        <v>234</v>
      </c>
      <c r="K2140" s="3" t="inlineStr">
        <is>
          <t>힐스테이트 맞은편 대 매매</t>
        </is>
      </c>
      <c r="L2140" s="6">
        <f>HYPERLINK("https://fin.land.naver.com/articles/2655277664", "매물Link")</f>
        <v/>
      </c>
      <c r="M2140" s="6">
        <f>HYPERLINK("https://map.naver.com/p/search/오송읍 오송리 60-104", "지도Link")</f>
        <v/>
      </c>
      <c r="N2140" s="6">
        <f>HYPERLINK("http://www.eum.go.kr/web/ar/lu/luLandDet.jsp?pnu=4311325028100600104&amp;isNoScr=script&amp;mode=search", "토지이음")</f>
        <v/>
      </c>
      <c r="O2140" s="3" t="inlineStr">
        <is>
          <t>광장</t>
        </is>
      </c>
      <c r="P2140" s="4" t="n">
        <v>1</v>
      </c>
      <c r="Q2140" s="4" t="n">
        <v>286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평지</t>
        </is>
      </c>
      <c r="U2140" s="3" t="inlineStr">
        <is>
          <t>부정형</t>
        </is>
      </c>
      <c r="V2140" s="3" t="inlineStr">
        <is>
          <t>소로한면</t>
        </is>
      </c>
    </row>
    <row r="2141">
      <c r="A2141" s="3" t="inlineStr">
        <is>
          <t>오송읍 정중리 317-1</t>
        </is>
      </c>
      <c r="B2141" s="3" t="inlineStr">
        <is>
          <t>농림지역</t>
        </is>
      </c>
      <c r="C2141" s="3" t="inlineStr">
        <is>
          <t>잡종지</t>
        </is>
      </c>
      <c r="D2141" s="3" t="inlineStr">
        <is>
          <t>잡종지</t>
        </is>
      </c>
      <c r="E2141" s="3" t="inlineStr">
        <is>
          <t>매매</t>
        </is>
      </c>
      <c r="F2141" s="4" t="n">
        <v>180000</v>
      </c>
      <c r="G2141" s="4" t="n">
        <v>11497</v>
      </c>
      <c r="H2141" s="4" t="n">
        <v>3478</v>
      </c>
      <c r="I2141" s="5" t="n">
        <v>51.8</v>
      </c>
      <c r="J2141" s="5" t="n">
        <v>25.2</v>
      </c>
      <c r="K2141" s="3" t="inlineStr">
        <is>
          <t>오송KTX역 및 오송바이오2산단 인근  2차선 도로접한 창고 및 토지</t>
        </is>
      </c>
      <c r="L2141" s="6">
        <f>HYPERLINK("https://fin.land.naver.com/articles/2652679648", "매물Link")</f>
        <v/>
      </c>
      <c r="M2141" s="6">
        <f>HYPERLINK("https://map.naver.com/p/search/오송읍 정중리 317-1", "지도Link")</f>
        <v/>
      </c>
      <c r="N2141" s="6">
        <f>HYPERLINK("http://www.eum.go.kr/web/ar/lu/luLandDet.jsp?pnu=4311325032103170001&amp;isNoScr=script&amp;mode=search", "토지이음")</f>
        <v/>
      </c>
      <c r="O2141" s="3" t="inlineStr">
        <is>
          <t>번영</t>
        </is>
      </c>
      <c r="P2141" s="4" t="n">
        <v>1</v>
      </c>
      <c r="Q2141" s="4" t="n">
        <v>237</v>
      </c>
      <c r="R2141" s="3" t="inlineStr">
        <is>
          <t>지정되지않음</t>
        </is>
      </c>
      <c r="S2141" s="3" t="inlineStr">
        <is>
          <t>답창고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정중리 569-1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25000</v>
      </c>
      <c r="G2142" s="4" t="n">
        <v>171</v>
      </c>
      <c r="H2142" s="4" t="n">
        <v>52</v>
      </c>
      <c r="I2142" s="5" t="n">
        <v>480.8</v>
      </c>
      <c r="J2142" s="5" t="n">
        <v>138.1</v>
      </c>
      <c r="K2142" s="3" t="inlineStr">
        <is>
          <t>구옥있는 2필지 함께 매도예정입니다.</t>
        </is>
      </c>
      <c r="L2142" s="6">
        <f>HYPERLINK("https://fin.land.naver.com/articles/2653268033", "매물Link")</f>
        <v/>
      </c>
      <c r="M2142" s="6">
        <f>HYPERLINK("https://map.naver.com/p/search/오송읍 정중리 569-1", "지도Link")</f>
        <v/>
      </c>
      <c r="N2142" s="6">
        <f>HYPERLINK("http://www.eum.go.kr/web/ar/lu/luLandDet.jsp?pnu=4311325032105690001&amp;isNoScr=script&amp;mode=search", "토지이음")</f>
        <v/>
      </c>
      <c r="O2142" s="3" t="inlineStr">
        <is>
          <t>프로</t>
        </is>
      </c>
      <c r="P2142" s="4" t="n">
        <v>1</v>
      </c>
      <c r="Q2142" s="4" t="n">
        <v>142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634</t>
        </is>
      </c>
      <c r="B2143" s="3" t="inlineStr">
        <is>
          <t>일반공업지역</t>
        </is>
      </c>
      <c r="C2143" s="3" t="inlineStr">
        <is>
          <t>공장용지</t>
        </is>
      </c>
      <c r="D2143" s="3" t="inlineStr">
        <is>
          <t>공장용지</t>
        </is>
      </c>
      <c r="E2143" s="3" t="inlineStr">
        <is>
          <t>매매</t>
        </is>
      </c>
      <c r="F2143" s="4" t="n">
        <v>1416100</v>
      </c>
      <c r="G2143" s="4" t="n">
        <v>27537</v>
      </c>
      <c r="H2143" s="4" t="n">
        <v>8330</v>
      </c>
      <c r="I2143" s="5" t="n">
        <v>170</v>
      </c>
      <c r="J2143" s="5" t="n">
        <v>74.40000000000001</v>
      </c>
      <c r="K2143" s="3" t="inlineStr">
        <is>
          <t>nan</t>
        </is>
      </c>
      <c r="L2143" s="6">
        <f>HYPERLINK("https://fin.land.naver.com/articles/2653126420", "매물Link")</f>
        <v/>
      </c>
      <c r="M2143" s="6">
        <f>HYPERLINK("https://map.naver.com/p/search/오송읍 정중리 634", "지도Link")</f>
        <v/>
      </c>
      <c r="N2143" s="6">
        <f>HYPERLINK("http://www.eum.go.kr/web/ar/lu/luLandDet.jsp?pnu=4311325032106340000&amp;isNoScr=script&amp;mode=search", "토지이음")</f>
        <v/>
      </c>
      <c r="O2143" s="3" t="inlineStr">
        <is>
          <t>스마트랜드</t>
        </is>
      </c>
      <c r="P2143" s="4" t="n">
        <v>1</v>
      </c>
      <c r="Q2143" s="4" t="n">
        <v>27537.3</v>
      </c>
      <c r="R2143" s="3" t="inlineStr">
        <is>
          <t>지정되지않음</t>
        </is>
      </c>
      <c r="S2143" s="3" t="inlineStr">
        <is>
          <t>공업기타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광대소각</t>
        </is>
      </c>
    </row>
    <row r="2144">
      <c r="A2144" s="3" t="inlineStr">
        <is>
          <t>오송읍 정중리 698</t>
        </is>
      </c>
      <c r="B2144" s="3" t="inlineStr">
        <is>
          <t>준공업지역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220000</v>
      </c>
      <c r="G2144" s="4" t="n">
        <v>660</v>
      </c>
      <c r="H2144" s="4" t="n">
        <v>200</v>
      </c>
      <c r="I2144" s="5" t="n">
        <v>1100</v>
      </c>
      <c r="J2144" s="5" t="n">
        <v>361</v>
      </c>
      <c r="K2144" s="3" t="inlineStr">
        <is>
          <t>오송2산단 대형평수 음식점 학원 가능한 토지</t>
        </is>
      </c>
      <c r="L2144" s="6">
        <f>HYPERLINK("https://fin.land.naver.com/articles/2652527577", "매물Link")</f>
        <v/>
      </c>
      <c r="M2144" s="6">
        <f>HYPERLINK("https://map.naver.com/p/search/오송읍 정중리 698", "지도Link")</f>
        <v/>
      </c>
      <c r="N2144" s="6">
        <f>HYPERLINK("http://www.eum.go.kr/web/ar/lu/luLandDet.jsp?pnu=4311325032106980000&amp;isNoScr=script&amp;mode=search", "토지이음")</f>
        <v/>
      </c>
      <c r="O2144" s="3" t="inlineStr">
        <is>
          <t>오송명품</t>
        </is>
      </c>
      <c r="P2144" s="4" t="n">
        <v>1</v>
      </c>
      <c r="Q2144" s="4" t="n">
        <v>660</v>
      </c>
      <c r="R2144" s="3" t="inlineStr">
        <is>
          <t>지정되지않음</t>
        </is>
      </c>
      <c r="S2144" s="3" t="inlineStr">
        <is>
          <t>상업기타</t>
        </is>
      </c>
      <c r="T2144" s="3" t="inlineStr">
        <is>
          <t>평지</t>
        </is>
      </c>
      <c r="U2144" s="3" t="inlineStr">
        <is>
          <t>가로장방</t>
        </is>
      </c>
      <c r="V2144" s="3" t="inlineStr">
        <is>
          <t>중로각지</t>
        </is>
      </c>
    </row>
    <row r="2145">
      <c r="A2145" s="3" t="inlineStr">
        <is>
          <t>오송읍 정중리 699</t>
        </is>
      </c>
      <c r="B2145" s="3" t="inlineStr">
        <is>
          <t>준공업지역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152000</v>
      </c>
      <c r="G2145" s="4" t="n">
        <v>678</v>
      </c>
      <c r="H2145" s="4" t="n">
        <v>205</v>
      </c>
      <c r="I2145" s="5" t="n">
        <v>741.5</v>
      </c>
      <c r="J2145" s="5" t="n">
        <v>361</v>
      </c>
      <c r="K2145" s="3" t="inlineStr">
        <is>
          <t>대형평수 음식점 사무실 학원 추천자리</t>
        </is>
      </c>
      <c r="L2145" s="6">
        <f>HYPERLINK("https://fin.land.naver.com/articles/2652527439", "매물Link")</f>
        <v/>
      </c>
      <c r="M2145" s="6">
        <f>HYPERLINK("https://map.naver.com/p/search/오송읍 정중리 699", "지도Link")</f>
        <v/>
      </c>
      <c r="N2145" s="6">
        <f>HYPERLINK("http://www.eum.go.kr/web/ar/lu/luLandDet.jsp?pnu=4311325032106990000&amp;isNoScr=script&amp;mode=search", "토지이음")</f>
        <v/>
      </c>
      <c r="O2145" s="3" t="inlineStr">
        <is>
          <t>오송명품</t>
        </is>
      </c>
      <c r="P2145" s="4" t="n">
        <v>1</v>
      </c>
      <c r="Q2145" s="4" t="n">
        <v>678.2</v>
      </c>
      <c r="R2145" s="3" t="inlineStr">
        <is>
          <t>지정되지않음</t>
        </is>
      </c>
      <c r="S2145" s="3" t="inlineStr">
        <is>
          <t>상업기타</t>
        </is>
      </c>
      <c r="T2145" s="3" t="inlineStr">
        <is>
          <t>평지</t>
        </is>
      </c>
      <c r="U2145" s="3" t="inlineStr">
        <is>
          <t>가로장방</t>
        </is>
      </c>
      <c r="V2145" s="3" t="inlineStr">
        <is>
          <t>중로각지</t>
        </is>
      </c>
    </row>
    <row r="2146">
      <c r="A2146" s="3" t="inlineStr">
        <is>
          <t>오송읍 정중리 704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166000</v>
      </c>
      <c r="G2146" s="4" t="n">
        <v>548</v>
      </c>
      <c r="H2146" s="4" t="n">
        <v>166</v>
      </c>
      <c r="I2146" s="5" t="n">
        <v>1000</v>
      </c>
      <c r="J2146" s="5" t="n">
        <v>347.1</v>
      </c>
      <c r="K2146" s="3" t="inlineStr">
        <is>
          <t>오송 2산단 지원시설용지  아파트 인접한 대로변 토지 근생 건물등 가능</t>
        </is>
      </c>
      <c r="L2146" s="6">
        <f>HYPERLINK("https://fin.land.naver.com/articles/2652625205", "매물Link")</f>
        <v/>
      </c>
      <c r="M2146" s="6">
        <f>HYPERLINK("https://map.naver.com/p/search/오송읍 정중리 704", "지도Link")</f>
        <v/>
      </c>
      <c r="N2146" s="6">
        <f>HYPERLINK("http://www.eum.go.kr/web/ar/lu/luLandDet.jsp?pnu=4311325032107040000&amp;isNoScr=script&amp;mode=search", "토지이음")</f>
        <v/>
      </c>
      <c r="O2146" s="3" t="inlineStr">
        <is>
          <t>더원</t>
        </is>
      </c>
      <c r="P2146" s="4" t="n">
        <v>3</v>
      </c>
      <c r="Q2146" s="4" t="n">
        <v>548.8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중로각지</t>
        </is>
      </c>
    </row>
    <row r="2147">
      <c r="A2147" s="3" t="inlineStr">
        <is>
          <t>오송읍 정중리 704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140000</v>
      </c>
      <c r="G2147" s="4" t="n">
        <v>548</v>
      </c>
      <c r="H2147" s="4" t="n">
        <v>166</v>
      </c>
      <c r="I2147" s="5" t="n">
        <v>843.4</v>
      </c>
      <c r="J2147" s="5" t="n">
        <v>347.1</v>
      </c>
      <c r="K2147" s="3" t="inlineStr">
        <is>
          <t>급매, 오송 국민체육센터 인근 토지 매매</t>
        </is>
      </c>
      <c r="L2147" s="6">
        <f>HYPERLINK("https://fin.land.naver.com/articles/2653824329", "매물Link")</f>
        <v/>
      </c>
      <c r="M2147" s="6">
        <f>HYPERLINK("https://map.naver.com/p/search/오송읍 정중리 704", "지도Link")</f>
        <v/>
      </c>
      <c r="N2147" s="6">
        <f>HYPERLINK("http://www.eum.go.kr/web/ar/lu/luLandDet.jsp?pnu=4311325032107040000&amp;isNoScr=script&amp;mode=search", "토지이음")</f>
        <v/>
      </c>
      <c r="O2147" s="3" t="inlineStr">
        <is>
          <t>광장</t>
        </is>
      </c>
      <c r="P2147" s="4" t="n">
        <v>1</v>
      </c>
      <c r="Q2147" s="4" t="n">
        <v>548.8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중로각지</t>
        </is>
      </c>
    </row>
    <row r="2148">
      <c r="A2148" s="3" t="inlineStr">
        <is>
          <t>오송읍 정중리 707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380000</v>
      </c>
      <c r="G2148" s="4" t="n">
        <v>1143</v>
      </c>
      <c r="H2148" s="4" t="n">
        <v>346</v>
      </c>
      <c r="I2148" s="5" t="n">
        <v>1098.3</v>
      </c>
      <c r="J2148" s="5" t="n">
        <v>407.6</v>
      </c>
      <c r="K2148" s="3" t="inlineStr">
        <is>
          <t>오송 2산단 사거리 코너자리 지원시설용지</t>
        </is>
      </c>
      <c r="L2148" s="6">
        <f>HYPERLINK("https://fin.land.naver.com/articles/2653176360", "매물Link")</f>
        <v/>
      </c>
      <c r="M2148" s="6">
        <f>HYPERLINK("https://map.naver.com/p/search/오송읍 정중리 707", "지도Link")</f>
        <v/>
      </c>
      <c r="N2148" s="6">
        <f>HYPERLINK("http://www.eum.go.kr/web/ar/lu/luLandDet.jsp?pnu=4311325032107070000&amp;isNoScr=script&amp;mode=search", "토지이음")</f>
        <v/>
      </c>
      <c r="O2148" s="3" t="inlineStr">
        <is>
          <t>아임</t>
        </is>
      </c>
      <c r="P2148" s="4" t="n">
        <v>3</v>
      </c>
      <c r="Q2148" s="4" t="n">
        <v>558.8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정중리 707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380000</v>
      </c>
      <c r="G2149" s="4" t="n">
        <v>1143</v>
      </c>
      <c r="H2149" s="4" t="n">
        <v>346</v>
      </c>
      <c r="I2149" s="5" t="n">
        <v>1098.3</v>
      </c>
      <c r="J2149" s="5" t="n">
        <v>407.6</v>
      </c>
      <c r="K2149" s="3" t="inlineStr">
        <is>
          <t>4차선 메인 코너토지 대단지아파트들을 끼고있음</t>
        </is>
      </c>
      <c r="L2149" s="6">
        <f>HYPERLINK("https://fin.land.naver.com/articles/2652380240", "매물Link")</f>
        <v/>
      </c>
      <c r="M2149" s="6">
        <f>HYPERLINK("https://map.naver.com/p/search/오송읍 정중리 707", "지도Link")</f>
        <v/>
      </c>
      <c r="N2149" s="6">
        <f>HYPERLINK("http://www.eum.go.kr/web/ar/lu/luLandDet.jsp?pnu=4311325032107070000&amp;isNoScr=script&amp;mode=search", "토지이음")</f>
        <v/>
      </c>
      <c r="O2149" s="3" t="inlineStr">
        <is>
          <t>조은</t>
        </is>
      </c>
      <c r="P2149" s="4" t="n">
        <v>1</v>
      </c>
      <c r="Q2149" s="4" t="n">
        <v>558.8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가로장방</t>
        </is>
      </c>
      <c r="V2149" s="3" t="inlineStr">
        <is>
          <t>광대소각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218000</v>
      </c>
      <c r="G2150" s="4" t="n">
        <v>1143</v>
      </c>
      <c r="H2150" s="4" t="n">
        <v>346</v>
      </c>
      <c r="I2150" s="5" t="n">
        <v>630.1</v>
      </c>
      <c r="J2150" s="5" t="n">
        <v>407.6</v>
      </c>
      <c r="K2150" s="3" t="inlineStr">
        <is>
          <t>코너땅,현재나대지,지원시설용지</t>
        </is>
      </c>
      <c r="L2150" s="6">
        <f>HYPERLINK("https://fin.land.naver.com/articles/2653153996",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오송올래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대로변토지매매 도시지역 대단지아파트인접</t>
        </is>
      </c>
      <c r="L2151" s="6">
        <f>HYPERLINK("https://fin.land.naver.com/articles/2653366604",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오송원</t>
        </is>
      </c>
      <c r="P2151" s="4" t="n">
        <v>1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380000</v>
      </c>
      <c r="G2152" s="4" t="n">
        <v>1143</v>
      </c>
      <c r="H2152" s="4" t="n">
        <v>346</v>
      </c>
      <c r="I2152" s="5" t="n">
        <v>1098.3</v>
      </c>
      <c r="J2152" s="5" t="n">
        <v>407.6</v>
      </c>
      <c r="K2152" s="3" t="inlineStr">
        <is>
          <t>산업단지 시작 코너 자리, 아파트 세대 배후.</t>
        </is>
      </c>
      <c r="L2152" s="6">
        <f>HYPERLINK("https://fin.land.naver.com/articles/2652526004",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대한민국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746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215000</v>
      </c>
      <c r="G2153" s="4" t="n">
        <v>639</v>
      </c>
      <c r="H2153" s="4" t="n">
        <v>193</v>
      </c>
      <c r="I2153" s="5" t="n">
        <v>1114</v>
      </c>
      <c r="J2153" s="5" t="n">
        <v>388.1</v>
      </c>
      <c r="K2153" s="3" t="inlineStr">
        <is>
          <t>3면코너 입지 입지 최상 건폐율70 6층이하 건축가능</t>
        </is>
      </c>
      <c r="L2153" s="6">
        <f>HYPERLINK("https://fin.land.naver.com/articles/2655925465", "매물Link")</f>
        <v/>
      </c>
      <c r="M2153" s="6">
        <f>HYPERLINK("https://map.naver.com/p/search/오송읍 정중리 746", "지도Link")</f>
        <v/>
      </c>
      <c r="N2153" s="6">
        <f>HYPERLINK("http://www.eum.go.kr/web/ar/lu/luLandDet.jsp?pnu=4311325032107460000&amp;isNoScr=script&amp;mode=search", "토지이음")</f>
        <v/>
      </c>
      <c r="O2153" s="3" t="inlineStr">
        <is>
          <t>프렌즈</t>
        </is>
      </c>
      <c r="P2153" s="4" t="n">
        <v>1</v>
      </c>
      <c r="Q2153" s="4" t="n">
        <v>639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광대소각</t>
        </is>
      </c>
    </row>
    <row r="2154">
      <c r="A2154" s="3" t="inlineStr">
        <is>
          <t>오송읍 정중리 755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240000</v>
      </c>
      <c r="G2154" s="4" t="n">
        <v>668</v>
      </c>
      <c r="H2154" s="4" t="n">
        <v>202</v>
      </c>
      <c r="I2154" s="5" t="n">
        <v>1188.1</v>
      </c>
      <c r="J2154" s="5" t="n">
        <v>361</v>
      </c>
      <c r="K2154" s="3" t="inlineStr">
        <is>
          <t>오송2산단내 지원시설용지,바로앞 아파트대단지 입주예정,</t>
        </is>
      </c>
      <c r="L2154" s="6">
        <f>HYPERLINK("https://fin.land.naver.com/articles/2651054162", "매물Link")</f>
        <v/>
      </c>
      <c r="M2154" s="6">
        <f>HYPERLINK("https://map.naver.com/p/search/오송읍 정중리 755", "지도Link")</f>
        <v/>
      </c>
      <c r="N2154" s="6">
        <f>HYPERLINK("http://www.eum.go.kr/web/ar/lu/luLandDet.jsp?pnu=4311325032107550000&amp;isNoScr=script&amp;mode=search", "토지이음")</f>
        <v/>
      </c>
      <c r="O2154" s="3" t="inlineStr">
        <is>
          <t>담뜰</t>
        </is>
      </c>
      <c r="P2154" s="4" t="n">
        <v>1</v>
      </c>
      <c r="Q2154" s="4" t="n">
        <v>668.8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중로각지</t>
        </is>
      </c>
    </row>
    <row r="2155">
      <c r="A2155" s="3" t="inlineStr">
        <is>
          <t>오송읍 정중리 768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143000</v>
      </c>
      <c r="G2155" s="4" t="n">
        <v>590</v>
      </c>
      <c r="H2155" s="4" t="n">
        <v>178</v>
      </c>
      <c r="I2155" s="5" t="n">
        <v>803.4</v>
      </c>
      <c r="J2155" s="5" t="n">
        <v>256.4</v>
      </c>
      <c r="K2155" s="3" t="inlineStr">
        <is>
          <t>신도시 대단지아파트인접  지원시설용지</t>
        </is>
      </c>
      <c r="L2155" s="6">
        <f>HYPERLINK("https://fin.land.naver.com/articles/2651351013", "매물Link")</f>
        <v/>
      </c>
      <c r="M2155" s="6">
        <f>HYPERLINK("https://map.naver.com/p/search/오송읍 정중리 768", "지도Link")</f>
        <v/>
      </c>
      <c r="N2155" s="6">
        <f>HYPERLINK("http://www.eum.go.kr/web/ar/lu/luLandDet.jsp?pnu=4311325032107680000&amp;isNoScr=script&amp;mode=search", "토지이음")</f>
        <v/>
      </c>
      <c r="O2155" s="3" t="inlineStr">
        <is>
          <t>오송원</t>
        </is>
      </c>
      <c r="P2155" s="4" t="n">
        <v>1</v>
      </c>
      <c r="Q2155" s="4" t="n">
        <v>590.3</v>
      </c>
      <c r="R2155" s="3" t="inlineStr">
        <is>
          <t>지정되지않음</t>
        </is>
      </c>
      <c r="S2155" s="3" t="inlineStr">
        <is>
          <t>상업나지</t>
        </is>
      </c>
      <c r="T2155" s="3" t="inlineStr">
        <is>
          <t>평지</t>
        </is>
      </c>
      <c r="U2155" s="3" t="inlineStr">
        <is>
          <t>정방형</t>
        </is>
      </c>
      <c r="V2155" s="3" t="inlineStr">
        <is>
          <t>중로한면</t>
        </is>
      </c>
    </row>
    <row r="2156">
      <c r="A2156" s="3" t="inlineStr">
        <is>
          <t>오송읍 정중리 768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125000</v>
      </c>
      <c r="G2156" s="4" t="n">
        <v>590</v>
      </c>
      <c r="H2156" s="4" t="n">
        <v>178</v>
      </c>
      <c r="I2156" s="5" t="n">
        <v>702.2</v>
      </c>
      <c r="J2156" s="5" t="n">
        <v>256.4</v>
      </c>
      <c r="K2156" s="3" t="inlineStr">
        <is>
          <t>지원시설용지 매매</t>
        </is>
      </c>
      <c r="L2156" s="6">
        <f>HYPERLINK("https://fin.land.naver.com/articles/2652685303", "매물Link")</f>
        <v/>
      </c>
      <c r="M2156" s="6">
        <f>HYPERLINK("https://map.naver.com/p/search/오송읍 정중리 768", "지도Link")</f>
        <v/>
      </c>
      <c r="N2156" s="6">
        <f>HYPERLINK("http://www.eum.go.kr/web/ar/lu/luLandDet.jsp?pnu=4311325032107680000&amp;isNoScr=script&amp;mode=search", "토지이음")</f>
        <v/>
      </c>
      <c r="O2156" s="3" t="inlineStr">
        <is>
          <t>대한민국</t>
        </is>
      </c>
      <c r="P2156" s="4" t="n">
        <v>1</v>
      </c>
      <c r="Q2156" s="4" t="n">
        <v>590.3</v>
      </c>
      <c r="R2156" s="3" t="inlineStr">
        <is>
          <t>지정되지않음</t>
        </is>
      </c>
      <c r="S2156" s="3" t="inlineStr">
        <is>
          <t>상업나지</t>
        </is>
      </c>
      <c r="T2156" s="3" t="inlineStr">
        <is>
          <t>평지</t>
        </is>
      </c>
      <c r="U2156" s="3" t="inlineStr">
        <is>
          <t>정방형</t>
        </is>
      </c>
      <c r="V2156" s="3" t="inlineStr">
        <is>
          <t>중로한면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125000</v>
      </c>
      <c r="G2157" s="4" t="n">
        <v>590</v>
      </c>
      <c r="H2157" s="4" t="n">
        <v>178</v>
      </c>
      <c r="I2157" s="5" t="n">
        <v>702.2</v>
      </c>
      <c r="J2157" s="5" t="n">
        <v>256.4</v>
      </c>
      <c r="K2157" s="3" t="inlineStr">
        <is>
          <t>오송2산단내 아파트 대단지 옆 지원시설용지 급매</t>
        </is>
      </c>
      <c r="L2157" s="6">
        <f>HYPERLINK("https://fin.land.naver.com/articles/2656104516",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아임</t>
        </is>
      </c>
      <c r="P2157" s="4" t="n">
        <v>7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105000</v>
      </c>
      <c r="G2158" s="4" t="n">
        <v>590</v>
      </c>
      <c r="H2158" s="4" t="n">
        <v>178</v>
      </c>
      <c r="I2158" s="5" t="n">
        <v>589.9</v>
      </c>
      <c r="J2158" s="5" t="n">
        <v>256.4</v>
      </c>
      <c r="K2158" s="3" t="inlineStr">
        <is>
          <t>nan</t>
        </is>
      </c>
      <c r="L2158" s="6">
        <f>HYPERLINK("https://fin.land.naver.com/articles/2651733349",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동행사무소</t>
        </is>
      </c>
      <c r="P2158" s="4" t="n">
        <v>1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773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95000</v>
      </c>
      <c r="G2159" s="4" t="n">
        <v>580</v>
      </c>
      <c r="H2159" s="4" t="n">
        <v>175</v>
      </c>
      <c r="I2159" s="5" t="n">
        <v>542.9</v>
      </c>
      <c r="J2159" s="5" t="n">
        <v>258.9</v>
      </c>
      <c r="K2159" s="3" t="inlineStr">
        <is>
          <t>저렴한기회 지원시설용지 차량진출입 용이한 근생상가 추천</t>
        </is>
      </c>
      <c r="L2159" s="6">
        <f>HYPERLINK("https://fin.land.naver.com/articles/2650862161", "매물Link")</f>
        <v/>
      </c>
      <c r="M2159" s="6">
        <f>HYPERLINK("https://map.naver.com/p/search/오송읍 정중리 773", "지도Link")</f>
        <v/>
      </c>
      <c r="N2159" s="6">
        <f>HYPERLINK("http://www.eum.go.kr/web/ar/lu/luLandDet.jsp?pnu=4311325032107730000&amp;isNoScr=script&amp;mode=search", "토지이음")</f>
        <v/>
      </c>
      <c r="O2159" s="3" t="inlineStr">
        <is>
          <t>프로</t>
        </is>
      </c>
      <c r="P2159" s="4" t="n">
        <v>1</v>
      </c>
      <c r="Q2159" s="4" t="n">
        <v>580.4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중로각지</t>
        </is>
      </c>
    </row>
    <row r="2160">
      <c r="A2160" s="3" t="inlineStr">
        <is>
          <t>오송읍 정중리 산13-1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120000</v>
      </c>
      <c r="G2160" s="4" t="n">
        <v>6437</v>
      </c>
      <c r="H2160" s="4" t="n">
        <v>1947</v>
      </c>
      <c r="I2160" s="5" t="n">
        <v>61.6</v>
      </c>
      <c r="J2160" s="5" t="n">
        <v>16.7</v>
      </c>
      <c r="K2160" s="3" t="inlineStr">
        <is>
          <t>nan</t>
        </is>
      </c>
      <c r="L2160" s="6">
        <f>HYPERLINK("https://fin.land.naver.com/articles/2653265945", "매물Link")</f>
        <v/>
      </c>
      <c r="M2160" s="6">
        <f>HYPERLINK("https://map.naver.com/p/search/오송읍 정중리 산13-1", "지도Link")</f>
        <v/>
      </c>
      <c r="N2160" s="6">
        <f>HYPERLINK("http://www.eum.go.kr/web/ar/lu/luLandDet.jsp?pnu=4311325032200130001&amp;isNoScr=script&amp;mode=search", "토지이음")</f>
        <v/>
      </c>
      <c r="O2160" s="3" t="inlineStr">
        <is>
          <t>프로</t>
        </is>
      </c>
      <c r="P2160" s="4" t="n">
        <v>1</v>
      </c>
      <c r="Q2160" s="4" t="n">
        <v>6437</v>
      </c>
      <c r="R2160" s="3" t="inlineStr">
        <is>
          <t>지정되지않음</t>
        </is>
      </c>
      <c r="S2160" s="3" t="inlineStr">
        <is>
          <t>자연림</t>
        </is>
      </c>
      <c r="T2160" s="3" t="inlineStr">
        <is>
          <t>완경사</t>
        </is>
      </c>
      <c r="U2160" s="3" t="inlineStr">
        <is>
          <t>부정형</t>
        </is>
      </c>
      <c r="V2160" s="3" t="inlineStr">
        <is>
          <t>세로한면(불)</t>
        </is>
      </c>
    </row>
    <row r="2161">
      <c r="A2161" s="3" t="inlineStr">
        <is>
          <t>오송읍 호계리 143-1</t>
        </is>
      </c>
      <c r="B2161" s="3" t="inlineStr">
        <is>
          <t>농림지역</t>
        </is>
      </c>
      <c r="C2161" s="3" t="inlineStr">
        <is>
          <t>답</t>
        </is>
      </c>
      <c r="D2161" s="3" t="inlineStr">
        <is>
          <t>답</t>
        </is>
      </c>
      <c r="E2161" s="3" t="inlineStr">
        <is>
          <t>매매</t>
        </is>
      </c>
      <c r="F2161" s="4" t="n">
        <v>39845</v>
      </c>
      <c r="G2161" s="4" t="n">
        <v>2026</v>
      </c>
      <c r="H2161" s="4" t="n">
        <v>613</v>
      </c>
      <c r="I2161" s="5" t="n">
        <v>65</v>
      </c>
      <c r="J2161" s="5" t="n">
        <v>30.4</v>
      </c>
      <c r="K2161" s="3" t="inlineStr">
        <is>
          <t>도로에 접해 주말농장 최상, 개발호재 핫한 오송시 위치 투자가치 최상</t>
        </is>
      </c>
      <c r="L2161" s="6">
        <f>HYPERLINK("https://fin.land.naver.com/articles/2655932977", "매물Link")</f>
        <v/>
      </c>
      <c r="M2161" s="6">
        <f>HYPERLINK("https://map.naver.com/p/search/오송읍 호계리 143-1", "지도Link")</f>
        <v/>
      </c>
      <c r="N2161" s="6">
        <f>HYPERLINK("http://www.eum.go.kr/web/ar/lu/luLandDet.jsp?pnu=4311325021101430001&amp;isNoScr=script&amp;mode=search", "토지이음")</f>
        <v/>
      </c>
      <c r="O2161" s="3" t="inlineStr">
        <is>
          <t>대한</t>
        </is>
      </c>
      <c r="P2161" s="4" t="n">
        <v>1</v>
      </c>
      <c r="Q2161" s="4" t="n">
        <v>2059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호계리 152-1</t>
        </is>
      </c>
      <c r="B2162" s="3" t="inlineStr">
        <is>
          <t>계획관리지역</t>
        </is>
      </c>
      <c r="C2162" s="3" t="inlineStr">
        <is>
          <t>답</t>
        </is>
      </c>
      <c r="D2162" s="3" t="inlineStr">
        <is>
          <t>답</t>
        </is>
      </c>
      <c r="E2162" s="3" t="inlineStr">
        <is>
          <t>매매</t>
        </is>
      </c>
      <c r="F2162" s="4" t="n">
        <v>53500</v>
      </c>
      <c r="G2162" s="4" t="n">
        <v>1359</v>
      </c>
      <c r="H2162" s="4" t="n">
        <v>411</v>
      </c>
      <c r="I2162" s="5" t="n">
        <v>130.2</v>
      </c>
      <c r="J2162" s="5" t="n">
        <v>39.1</v>
      </c>
      <c r="K2162" s="3" t="inlineStr">
        <is>
          <t>급매, 시세 대비 매우 저렴, 4미터 도로에 접하고 있는 계획관리 토지</t>
        </is>
      </c>
      <c r="L2162" s="6">
        <f>HYPERLINK("https://fin.land.naver.com/articles/2653224458", "매물Link")</f>
        <v/>
      </c>
      <c r="M2162" s="6">
        <f>HYPERLINK("https://map.naver.com/p/search/오송읍 호계리 152-1", "지도Link")</f>
        <v/>
      </c>
      <c r="N2162" s="6">
        <f>HYPERLINK("http://www.eum.go.kr/web/ar/lu/luLandDet.jsp?pnu=4311325021101520001&amp;isNoScr=script&amp;mode=search", "토지이음")</f>
        <v/>
      </c>
      <c r="O2162" s="3" t="inlineStr">
        <is>
          <t>제이</t>
        </is>
      </c>
      <c r="P2162" s="4" t="n">
        <v>1</v>
      </c>
      <c r="Q2162" s="4" t="n">
        <v>962</v>
      </c>
      <c r="R2162" s="3" t="inlineStr">
        <is>
          <t>지정되지않음</t>
        </is>
      </c>
      <c r="S2162" s="3" t="inlineStr">
        <is>
          <t>답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세로각지(가)</t>
        </is>
      </c>
    </row>
    <row r="2163">
      <c r="A2163" s="3" t="inlineStr">
        <is>
          <t>오송읍 호계리 155-1</t>
        </is>
      </c>
      <c r="B2163" s="3" t="inlineStr">
        <is>
          <t>계획관리지역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195800</v>
      </c>
      <c r="G2163" s="4" t="n">
        <v>2943</v>
      </c>
      <c r="H2163" s="4" t="n">
        <v>890</v>
      </c>
      <c r="I2163" s="5" t="n">
        <v>220</v>
      </c>
      <c r="J2163" s="5" t="n">
        <v>38.1</v>
      </c>
      <c r="K2163" s="3" t="inlineStr">
        <is>
          <t>오송읍, 호계리, 계획관리지역, 5m 도로 접한 토지</t>
        </is>
      </c>
      <c r="L2163" s="6">
        <f>HYPERLINK("https://fin.land.naver.com/articles/2652670142", "매물Link")</f>
        <v/>
      </c>
      <c r="M2163" s="6">
        <f>HYPERLINK("https://map.naver.com/p/search/오송읍 호계리 155-1", "지도Link")</f>
        <v/>
      </c>
      <c r="N2163" s="6">
        <f>HYPERLINK("http://www.eum.go.kr/web/ar/lu/luLandDet.jsp?pnu=4311325021101550001&amp;isNoScr=script&amp;mode=search", "토지이음")</f>
        <v/>
      </c>
      <c r="O2163" s="3" t="inlineStr">
        <is>
          <t>올바른</t>
        </is>
      </c>
      <c r="P2163" s="4" t="n">
        <v>1</v>
      </c>
      <c r="Q2163" s="4" t="n">
        <v>2943</v>
      </c>
      <c r="R2163" s="3" t="inlineStr">
        <is>
          <t>지정되지않음</t>
        </is>
      </c>
      <c r="S2163" s="3" t="inlineStr">
        <is>
          <t>답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호계리 224-2</t>
        </is>
      </c>
      <c r="B2164" s="3" t="inlineStr">
        <is>
          <t>생산관리지역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49000</v>
      </c>
      <c r="G2164" s="4" t="n">
        <v>899</v>
      </c>
      <c r="H2164" s="4" t="n">
        <v>272</v>
      </c>
      <c r="I2164" s="5" t="n">
        <v>180.1</v>
      </c>
      <c r="J2164" s="5" t="n">
        <v>51.1</v>
      </c>
      <c r="K2164" s="3" t="inlineStr">
        <is>
          <t>2 배의 가치 2 배의 넓은 땅 사용 가능 토지  생산 관리 지역</t>
        </is>
      </c>
      <c r="L2164" s="6">
        <f>HYPERLINK("https://fin.land.naver.com/articles/2654653071", "매물Link")</f>
        <v/>
      </c>
      <c r="M2164" s="6">
        <f>HYPERLINK("https://map.naver.com/p/search/오송읍 호계리 224-2", "지도Link")</f>
        <v/>
      </c>
      <c r="N2164" s="6">
        <f>HYPERLINK("http://www.eum.go.kr/web/ar/lu/luLandDet.jsp?pnu=4311325021102240002&amp;isNoScr=script&amp;mode=search",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899</v>
      </c>
      <c r="R2164" s="3" t="inlineStr">
        <is>
          <t>지정되지않음</t>
        </is>
      </c>
      <c r="S2164" s="3" t="inlineStr">
        <is>
          <t>답기타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중로한면</t>
        </is>
      </c>
    </row>
    <row r="2165">
      <c r="A2165" s="3" t="inlineStr">
        <is>
          <t>오송읍 호계리 230-3</t>
        </is>
      </c>
      <c r="B2165" s="3" t="inlineStr">
        <is>
          <t>농림지역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29000</v>
      </c>
      <c r="G2165" s="4" t="n">
        <v>1595</v>
      </c>
      <c r="H2165" s="4" t="n">
        <v>482</v>
      </c>
      <c r="I2165" s="5" t="n">
        <v>60.2</v>
      </c>
      <c r="J2165" s="5" t="n">
        <v>32.4</v>
      </c>
      <c r="K2165" s="3" t="inlineStr">
        <is>
          <t>호계리 토지 매매.</t>
        </is>
      </c>
      <c r="L2165" s="6">
        <f>HYPERLINK("https://fin.land.naver.com/articles/2652685771", "매물Link")</f>
        <v/>
      </c>
      <c r="M2165" s="6">
        <f>HYPERLINK("https://map.naver.com/p/search/오송읍 호계리 230-3", "지도Link")</f>
        <v/>
      </c>
      <c r="N2165" s="6">
        <f>HYPERLINK("http://www.eum.go.kr/web/ar/lu/luLandDet.jsp?pnu=4311325021102300003&amp;isNoScr=script&amp;mode=search", "토지이음")</f>
        <v/>
      </c>
      <c r="O2165" s="3" t="inlineStr">
        <is>
          <t>대한민국</t>
        </is>
      </c>
      <c r="P2165" s="4" t="n">
        <v>1</v>
      </c>
      <c r="Q2165" s="4" t="n">
        <v>1595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세로장방</t>
        </is>
      </c>
      <c r="V2165" s="3" t="inlineStr">
        <is>
          <t>소로한면</t>
        </is>
      </c>
    </row>
    <row r="2166">
      <c r="A2166" s="3" t="inlineStr">
        <is>
          <t>오송읍 호계리 3-2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90400</v>
      </c>
      <c r="G2166" s="4" t="n">
        <v>1494</v>
      </c>
      <c r="H2166" s="4" t="n">
        <v>452</v>
      </c>
      <c r="I2166" s="5" t="n">
        <v>200</v>
      </c>
      <c r="J2166" s="5" t="n">
        <v>33.6</v>
      </c>
      <c r="K2166" s="3" t="inlineStr">
        <is>
          <t>공장이나 창고부지 적격</t>
        </is>
      </c>
      <c r="L2166" s="6">
        <f>HYPERLINK("https://fin.land.naver.com/articles/2652471712", "매물Link")</f>
        <v/>
      </c>
      <c r="M2166" s="6">
        <f>HYPERLINK("https://map.naver.com/p/search/오송읍 호계리 3-2", "지도Link")</f>
        <v/>
      </c>
      <c r="N2166" s="6">
        <f>HYPERLINK("http://www.eum.go.kr/web/ar/lu/luLandDet.jsp?pnu=4311325021100030002&amp;isNoScr=script&amp;mode=search", "토지이음")</f>
        <v/>
      </c>
      <c r="O2166" s="3" t="inlineStr">
        <is>
          <t>천석</t>
        </is>
      </c>
      <c r="P2166" s="4" t="n">
        <v>1</v>
      </c>
      <c r="Q2166" s="4" t="n">
        <v>1494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맹지</t>
        </is>
      </c>
    </row>
    <row r="2167">
      <c r="A2167" s="3" t="inlineStr">
        <is>
          <t>오송읍 호계리 50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90000</v>
      </c>
      <c r="G2167" s="4" t="n">
        <v>1927</v>
      </c>
      <c r="H2167" s="4" t="n">
        <v>583</v>
      </c>
      <c r="I2167" s="5" t="n">
        <v>154.4</v>
      </c>
      <c r="J2167" s="5" t="n">
        <v>40.1</v>
      </c>
      <c r="K2167" s="3" t="inlineStr">
        <is>
          <t>오송읍 호계리 산과 인접한 전원주택부지</t>
        </is>
      </c>
      <c r="L2167" s="6">
        <f>HYPERLINK("https://fin.land.naver.com/articles/2654451662", "매물Link")</f>
        <v/>
      </c>
      <c r="M2167" s="6">
        <f>HYPERLINK("https://map.naver.com/p/search/오송읍 호계리 50", "지도Link")</f>
        <v/>
      </c>
      <c r="N2167" s="6">
        <f>HYPERLINK("http://www.eum.go.kr/web/ar/lu/luLandDet.jsp?pnu=4311325021100500000&amp;isNoScr=script&amp;mode=search", "토지이음")</f>
        <v/>
      </c>
      <c r="O2167" s="3" t="inlineStr">
        <is>
          <t>새벽무소</t>
        </is>
      </c>
      <c r="P2167" s="4" t="n">
        <v>1</v>
      </c>
      <c r="Q2167" s="4" t="n">
        <v>1927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오송읍 호계리 7-6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28500</v>
      </c>
      <c r="G2168" s="4" t="n">
        <v>627</v>
      </c>
      <c r="H2168" s="4" t="n">
        <v>190</v>
      </c>
      <c r="I2168" s="5" t="n">
        <v>150</v>
      </c>
      <c r="J2168" s="5" t="n">
        <v>39</v>
      </c>
      <c r="K2168" s="3" t="inlineStr">
        <is>
          <t>전원주택지</t>
        </is>
      </c>
      <c r="L2168" s="6">
        <f>HYPERLINK("https://fin.land.naver.com/articles/2656313703", "매물Link")</f>
        <v/>
      </c>
      <c r="M2168" s="6">
        <f>HYPERLINK("https://map.naver.com/p/search/오송읍 호계리 7-6", "지도Link")</f>
        <v/>
      </c>
      <c r="N2168" s="6">
        <f>HYPERLINK("http://www.eum.go.kr/web/ar/lu/luLandDet.jsp?pnu=4311325021100070006&amp;isNoScr=script&amp;mode=search", "토지이음")</f>
        <v/>
      </c>
      <c r="O2168" s="3" t="inlineStr">
        <is>
          <t>금송</t>
        </is>
      </c>
      <c r="P2168" s="4" t="n">
        <v>1</v>
      </c>
      <c r="Q2168" s="4" t="n">
        <v>627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금암리 119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99000</v>
      </c>
      <c r="G2169" s="4" t="n">
        <v>1633</v>
      </c>
      <c r="H2169" s="4" t="n">
        <v>494</v>
      </c>
      <c r="I2169" s="5" t="n">
        <v>200.4</v>
      </c>
      <c r="J2169" s="5" t="n">
        <v>74.7</v>
      </c>
      <c r="K2169" s="3" t="inlineStr">
        <is>
          <t>도로접 위치 최상 투자 실사용 추천 본필지 외 2필지 총 3필지</t>
        </is>
      </c>
      <c r="L2169" s="6">
        <f>HYPERLINK("https://fin.land.naver.com/articles/2654757397", "매물Link")</f>
        <v/>
      </c>
      <c r="M2169" s="6">
        <f>HYPERLINK("https://map.naver.com/p/search/장군면 금암리 119", "지도Link")</f>
        <v/>
      </c>
      <c r="N2169" s="6">
        <f>HYPERLINK("http://www.eum.go.kr/web/ar/lu/luLandDet.jsp?pnu=3611035025101190000&amp;isNoScr=script&amp;mode=search", "토지이음")</f>
        <v/>
      </c>
      <c r="O2169" s="3" t="inlineStr">
        <is>
          <t>세종동인</t>
        </is>
      </c>
      <c r="P2169" s="4" t="n">
        <v>1</v>
      </c>
      <c r="Q2169" s="4" t="n">
        <v>1633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부정형</t>
        </is>
      </c>
      <c r="V2169" s="3" t="inlineStr">
        <is>
          <t>세로한면(가)</t>
        </is>
      </c>
    </row>
    <row r="2170">
      <c r="A2170" s="3" t="inlineStr">
        <is>
          <t>장군면 금암리 119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266000</v>
      </c>
      <c r="G2170" s="4" t="n">
        <v>4407</v>
      </c>
      <c r="H2170" s="4" t="n">
        <v>1333</v>
      </c>
      <c r="I2170" s="5" t="n">
        <v>199.5</v>
      </c>
      <c r="J2170" s="5" t="n">
        <v>74.7</v>
      </c>
      <c r="K2170" s="3" t="inlineStr">
        <is>
          <t>진입로가 우수하며, 민원 걱정 없는 매물임.</t>
        </is>
      </c>
      <c r="L2170" s="6">
        <f>HYPERLINK("https://fin.land.naver.com/articles/2656233190", "매물Link")</f>
        <v/>
      </c>
      <c r="M2170" s="6">
        <f>HYPERLINK("https://map.naver.com/p/search/장군면 금암리 119", "지도Link")</f>
        <v/>
      </c>
      <c r="N2170" s="6">
        <f>HYPERLINK("http://www.eum.go.kr/web/ar/lu/luLandDet.jsp?pnu=3611035025101190000&amp;isNoScr=script&amp;mode=search", "토지이음")</f>
        <v/>
      </c>
      <c r="O2170" s="3" t="inlineStr">
        <is>
          <t>세종제일</t>
        </is>
      </c>
      <c r="P2170" s="4" t="n">
        <v>1</v>
      </c>
      <c r="Q2170" s="4" t="n">
        <v>1633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금암리 120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78.5</v>
      </c>
      <c r="K2171" s="3" t="inlineStr">
        <is>
          <t>금강조망, 접근성 및 향좋은 계획관리지역 토지매매</t>
        </is>
      </c>
      <c r="L2171" s="6">
        <f>HYPERLINK("https://fin.land.naver.com/articles/2655593198", "매물Link")</f>
        <v/>
      </c>
      <c r="M2171" s="6">
        <f>HYPERLINK("https://map.naver.com/p/search/장군면 금암리 120", "지도Link")</f>
        <v/>
      </c>
      <c r="N2171" s="6">
        <f>HYPERLINK("http://www.eum.go.kr/web/ar/lu/luLandDet.jsp?pnu=3611035025101200000&amp;isNoScr=script&amp;mode=search", "토지이음")</f>
        <v/>
      </c>
      <c r="O2171" s="3" t="inlineStr">
        <is>
          <t>금화랜드</t>
        </is>
      </c>
      <c r="P2171" s="4" t="n">
        <v>1</v>
      </c>
      <c r="Q2171" s="4" t="n">
        <v>1057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금암리 132-45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142000</v>
      </c>
      <c r="G2172" s="4" t="n">
        <v>587</v>
      </c>
      <c r="H2172" s="4" t="n">
        <v>178</v>
      </c>
      <c r="I2172" s="5" t="n">
        <v>797.8</v>
      </c>
      <c r="J2172" s="5" t="n">
        <v>12.9</v>
      </c>
      <c r="K2172" s="3" t="inlineStr">
        <is>
          <t>금강의 물줄기를 바로 눈앞에서 즐길 수 있는 귀한 매물</t>
        </is>
      </c>
      <c r="L2172" s="6">
        <f>HYPERLINK("https://fin.land.naver.com/articles/2651702714", "매물Link")</f>
        <v/>
      </c>
      <c r="M2172" s="6">
        <f>HYPERLINK("https://map.naver.com/p/search/장군면 금암리 132-45", "지도Link")</f>
        <v/>
      </c>
      <c r="N2172" s="6">
        <f>HYPERLINK("http://www.eum.go.kr/web/ar/lu/luLandDet.jsp?pnu=3611035025101320045&amp;isNoScr=script&amp;mode=search", "토지이음")</f>
        <v/>
      </c>
      <c r="O2172" s="3" t="inlineStr">
        <is>
          <t>세종제일</t>
        </is>
      </c>
      <c r="P2172" s="4" t="n">
        <v>1</v>
      </c>
      <c r="Q2172" s="4" t="n">
        <v>587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중로한면</t>
        </is>
      </c>
    </row>
    <row r="2173">
      <c r="A2173" s="3" t="inlineStr">
        <is>
          <t>장군면 금암리 136-1</t>
        </is>
      </c>
      <c r="B2173" s="3" t="inlineStr">
        <is>
          <t>계획관리지역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440000</v>
      </c>
      <c r="G2173" s="4" t="n">
        <v>4166</v>
      </c>
      <c r="H2173" s="4" t="n">
        <v>1260</v>
      </c>
      <c r="I2173" s="5" t="n">
        <v>349.2</v>
      </c>
      <c r="J2173" s="5" t="n">
        <v>131.9</v>
      </c>
      <c r="K2173" s="3" t="inlineStr">
        <is>
          <t>계획관리지역 접근성 및 주차장 넓은 근린생활시설용 건물매매</t>
        </is>
      </c>
      <c r="L2173" s="6">
        <f>HYPERLINK("https://fin.land.naver.com/articles/2654802750", "매물Link")</f>
        <v/>
      </c>
      <c r="M2173" s="6">
        <f>HYPERLINK("https://map.naver.com/p/search/장군면 금암리 136-1", "지도Link")</f>
        <v/>
      </c>
      <c r="N2173" s="6">
        <f>HYPERLINK("http://www.eum.go.kr/web/ar/lu/luLandDet.jsp?pnu=3611035025101360001&amp;isNoScr=script&amp;mode=search",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1937</v>
      </c>
      <c r="R2173" s="3" t="inlineStr">
        <is>
          <t>지정되지않음</t>
        </is>
      </c>
      <c r="S2173" s="3" t="inlineStr">
        <is>
          <t>주상기타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소로한면</t>
        </is>
      </c>
    </row>
    <row r="2174">
      <c r="A2174" s="3" t="inlineStr">
        <is>
          <t>장군면 금암리 151-5</t>
        </is>
      </c>
      <c r="B2174" s="3" t="inlineStr">
        <is>
          <t>계획관리지역</t>
        </is>
      </c>
      <c r="C2174" s="3" t="inlineStr">
        <is>
          <t>목장용지</t>
        </is>
      </c>
      <c r="D2174" s="3" t="inlineStr">
        <is>
          <t>목장용지</t>
        </is>
      </c>
      <c r="E2174" s="3" t="inlineStr">
        <is>
          <t>매매</t>
        </is>
      </c>
      <c r="F2174" s="4" t="n">
        <v>25000</v>
      </c>
      <c r="G2174" s="4" t="n">
        <v>294</v>
      </c>
      <c r="H2174" s="4" t="n">
        <v>89</v>
      </c>
      <c r="I2174" s="5" t="n">
        <v>280.9</v>
      </c>
      <c r="J2174" s="5" t="n">
        <v>97.5</v>
      </c>
      <c r="K2174" s="3" t="inlineStr">
        <is>
          <t>계획관리지역, 도로지분포함 , 세종시10분이내 추천매매</t>
        </is>
      </c>
      <c r="L2174" s="6">
        <f>HYPERLINK("https://fin.land.naver.com/articles/2652095398", "매물Link")</f>
        <v/>
      </c>
      <c r="M2174" s="6">
        <f>HYPERLINK("https://map.naver.com/p/search/장군면 금암리 151-5", "지도Link")</f>
        <v/>
      </c>
      <c r="N2174" s="6">
        <f>HYPERLINK("http://www.eum.go.kr/web/ar/lu/luLandDet.jsp?pnu=3611035025101510005&amp;isNoScr=script&amp;mode=search", "토지이음")</f>
        <v/>
      </c>
      <c r="O2174" s="3" t="inlineStr">
        <is>
          <t>Home</t>
        </is>
      </c>
      <c r="P2174" s="4" t="n">
        <v>1</v>
      </c>
      <c r="Q2174" s="4" t="n">
        <v>294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금암리 231</t>
        </is>
      </c>
      <c r="B2175" s="3" t="inlineStr">
        <is>
          <t>계획관리지역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150000</v>
      </c>
      <c r="G2175" s="4" t="n">
        <v>4516</v>
      </c>
      <c r="H2175" s="4" t="n">
        <v>1366</v>
      </c>
      <c r="I2175" s="5" t="n">
        <v>109.8</v>
      </c>
      <c r="J2175" s="5" t="n">
        <v>71</v>
      </c>
      <c r="K2175" s="3" t="inlineStr">
        <is>
          <t>금액 조절 돼요 관심있으시면 전화주세요</t>
        </is>
      </c>
      <c r="L2175" s="6">
        <f>HYPERLINK("https://fin.land.naver.com/articles/2651502677", "매물Link")</f>
        <v/>
      </c>
      <c r="M2175" s="6">
        <f>HYPERLINK("https://map.naver.com/p/search/장군면 금암리 231", "지도Link")</f>
        <v/>
      </c>
      <c r="N2175" s="6">
        <f>HYPERLINK("http://www.eum.go.kr/web/ar/lu/luLandDet.jsp?pnu=3611035025102310000&amp;isNoScr=script&amp;mode=search", "토지이음")</f>
        <v/>
      </c>
      <c r="O2175" s="3" t="inlineStr">
        <is>
          <t>행복한푸르지오</t>
        </is>
      </c>
      <c r="P2175" s="4" t="n">
        <v>1</v>
      </c>
      <c r="Q2175" s="4" t="n">
        <v>1711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세로한면(불)</t>
        </is>
      </c>
    </row>
    <row r="2176">
      <c r="A2176" s="3" t="inlineStr">
        <is>
          <t>장군면 금암리 274-23</t>
        </is>
      </c>
      <c r="B2176" s="3" t="inlineStr">
        <is>
          <t>농림지역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270000</v>
      </c>
      <c r="G2176" s="4" t="n">
        <v>4628</v>
      </c>
      <c r="H2176" s="4" t="n">
        <v>1400</v>
      </c>
      <c r="I2176" s="5" t="n">
        <v>192.9</v>
      </c>
      <c r="J2176" s="5" t="n">
        <v>3.9</v>
      </c>
      <c r="K2176" s="3" t="inlineStr">
        <is>
          <t>세종시 공공시설복합단지 인근 최고의 조망을 자랑하는 임야</t>
        </is>
      </c>
      <c r="L2176" s="6">
        <f>HYPERLINK("https://fin.land.naver.com/articles/2656232517", "매물Link")</f>
        <v/>
      </c>
      <c r="M2176" s="6">
        <f>HYPERLINK("https://map.naver.com/p/search/장군면 금암리 274-23", "지도Link")</f>
        <v/>
      </c>
      <c r="N2176" s="6">
        <f>HYPERLINK("http://www.eum.go.kr/web/ar/lu/luLandDet.jsp?pnu=3611035025102740023&amp;isNoScr=script&amp;mode=search", "토지이음")</f>
        <v/>
      </c>
      <c r="O2176" s="3" t="inlineStr">
        <is>
          <t>세종제일</t>
        </is>
      </c>
      <c r="P2176" s="4" t="n">
        <v>1</v>
      </c>
      <c r="Q2176" s="4" t="n">
        <v>3977</v>
      </c>
      <c r="R2176" s="3" t="inlineStr">
        <is>
          <t>지정되지않음</t>
        </is>
      </c>
      <c r="S2176" s="3" t="inlineStr">
        <is>
          <t>자연림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맹지</t>
        </is>
      </c>
    </row>
    <row r="2177">
      <c r="A2177" s="3" t="inlineStr">
        <is>
          <t>장군면 금암리 274-29</t>
        </is>
      </c>
      <c r="B2177" s="3" t="inlineStr">
        <is>
          <t>보전관리지역</t>
        </is>
      </c>
      <c r="C2177" s="3" t="inlineStr">
        <is>
          <t>공장용지</t>
        </is>
      </c>
      <c r="D2177" s="3" t="inlineStr">
        <is>
          <t>공장용지</t>
        </is>
      </c>
      <c r="E2177" s="3" t="inlineStr">
        <is>
          <t>매매</t>
        </is>
      </c>
      <c r="F2177" s="4" t="n">
        <v>77300</v>
      </c>
      <c r="G2177" s="4" t="n">
        <v>639</v>
      </c>
      <c r="H2177" s="4" t="n">
        <v>193</v>
      </c>
      <c r="I2177" s="5" t="n">
        <v>400.5</v>
      </c>
      <c r="J2177" s="5" t="n">
        <v>56.7</v>
      </c>
      <c r="K2177" s="3" t="inlineStr">
        <is>
          <t>공공시설복합단지에 접.  정남향의 금강 조망 최고.</t>
        </is>
      </c>
      <c r="L2177" s="6">
        <f>HYPERLINK("https://fin.land.naver.com/articles/2653412851", "매물Link")</f>
        <v/>
      </c>
      <c r="M2177" s="6">
        <f>HYPERLINK("https://map.naver.com/p/search/장군면 금암리 274-29", "지도Link")</f>
        <v/>
      </c>
      <c r="N2177" s="6">
        <f>HYPERLINK("http://www.eum.go.kr/web/ar/lu/luLandDet.jsp?pnu=3611035025102740029&amp;isNoScr=script&amp;mode=search", "토지이음")</f>
        <v/>
      </c>
      <c r="O2177" s="3" t="inlineStr">
        <is>
          <t>세종제일</t>
        </is>
      </c>
      <c r="P2177" s="4" t="n">
        <v>1</v>
      </c>
      <c r="Q2177" s="4" t="n">
        <v>557</v>
      </c>
      <c r="R2177" s="3" t="inlineStr">
        <is>
          <t>지정되지않음</t>
        </is>
      </c>
      <c r="S2177" s="3" t="inlineStr">
        <is>
          <t>공업용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금암리 274-31</t>
        </is>
      </c>
      <c r="B2178" s="3" t="inlineStr">
        <is>
          <t>보전관리지역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170000</v>
      </c>
      <c r="G2178" s="4" t="n">
        <v>1138</v>
      </c>
      <c r="H2178" s="4" t="n">
        <v>344</v>
      </c>
      <c r="I2178" s="5" t="n">
        <v>494.2</v>
      </c>
      <c r="J2178" s="5" t="n">
        <v>56.7</v>
      </c>
      <c r="K2178" s="3" t="inlineStr">
        <is>
          <t>공공시설복합단지에 바로 접한 최고의 조망이 보장되는 자리</t>
        </is>
      </c>
      <c r="L2178" s="6">
        <f>HYPERLINK("https://fin.land.naver.com/articles/2654194319", "매물Link")</f>
        <v/>
      </c>
      <c r="M2178" s="6">
        <f>HYPERLINK("https://map.naver.com/p/search/장군면 금암리 274-31", "지도Link")</f>
        <v/>
      </c>
      <c r="N2178" s="6">
        <f>HYPERLINK("http://www.eum.go.kr/web/ar/lu/luLandDet.jsp?pnu=3611035025102740031&amp;isNoScr=script&amp;mode=search", "토지이음")</f>
        <v/>
      </c>
      <c r="O2178" s="3" t="inlineStr">
        <is>
          <t>세종제일</t>
        </is>
      </c>
      <c r="P2178" s="4" t="n">
        <v>1</v>
      </c>
      <c r="Q2178" s="4" t="n">
        <v>992</v>
      </c>
      <c r="R2178" s="3" t="inlineStr">
        <is>
          <t>지정되지않음</t>
        </is>
      </c>
      <c r="S2178" s="3" t="inlineStr">
        <is>
          <t>공업용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금암리 274-35</t>
        </is>
      </c>
      <c r="B2179" s="3" t="inlineStr">
        <is>
          <t>보전관리지역</t>
        </is>
      </c>
      <c r="C2179" s="3" t="inlineStr">
        <is>
          <t>공장용지</t>
        </is>
      </c>
      <c r="D2179" s="3" t="inlineStr">
        <is>
          <t>공장용지</t>
        </is>
      </c>
      <c r="E2179" s="3" t="inlineStr">
        <is>
          <t>매매</t>
        </is>
      </c>
      <c r="F2179" s="4" t="n">
        <v>82000</v>
      </c>
      <c r="G2179" s="4" t="n">
        <v>677</v>
      </c>
      <c r="H2179" s="4" t="n">
        <v>205</v>
      </c>
      <c r="I2179" s="5" t="n">
        <v>400</v>
      </c>
      <c r="J2179" s="5" t="n">
        <v>56.7</v>
      </c>
      <c r="K2179" s="3" t="inlineStr">
        <is>
          <t>공공시설복합단지 바로 인접.  약간 높은 지대로 금강 조망 좋음.</t>
        </is>
      </c>
      <c r="L2179" s="6">
        <f>HYPERLINK("https://fin.land.naver.com/articles/2656229637", "매물Link")</f>
        <v/>
      </c>
      <c r="M2179" s="6">
        <f>HYPERLINK("https://map.naver.com/p/search/장군면 금암리 274-35", "지도Link")</f>
        <v/>
      </c>
      <c r="N2179" s="6">
        <f>HYPERLINK("http://www.eum.go.kr/web/ar/lu/luLandDet.jsp?pnu=3611035025102740035&amp;isNoScr=script&amp;mode=search",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548</v>
      </c>
      <c r="R2179" s="3" t="inlineStr">
        <is>
          <t>지정되지않음</t>
        </is>
      </c>
      <c r="S2179" s="3" t="inlineStr">
        <is>
          <t>공업용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금암리 274-5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86000</v>
      </c>
      <c r="G2180" s="4" t="n">
        <v>711</v>
      </c>
      <c r="H2180" s="4" t="n">
        <v>215</v>
      </c>
      <c r="I2180" s="5" t="n">
        <v>400</v>
      </c>
      <c r="J2180" s="5" t="n">
        <v>56.7</v>
      </c>
      <c r="K2180" s="3" t="inlineStr">
        <is>
          <t>공공시설복합단지에 접한 정남향 부지.</t>
        </is>
      </c>
      <c r="L2180" s="6">
        <f>HYPERLINK("https://fin.land.naver.com/articles/2653413633", "매물Link")</f>
        <v/>
      </c>
      <c r="M2180" s="6">
        <f>HYPERLINK("https://map.naver.com/p/search/장군면 금암리 274-5", "지도Link")</f>
        <v/>
      </c>
      <c r="N2180" s="6">
        <f>HYPERLINK("http://www.eum.go.kr/web/ar/lu/luLandDet.jsp?pnu=3611035025102740005&amp;isNoScr=script&amp;mode=search",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620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274-54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940000</v>
      </c>
      <c r="G2181" s="4" t="n">
        <v>7768</v>
      </c>
      <c r="H2181" s="4" t="n">
        <v>2350</v>
      </c>
      <c r="I2181" s="5" t="n">
        <v>400</v>
      </c>
      <c r="J2181" s="5" t="n">
        <v>56.7</v>
      </c>
      <c r="K2181" s="3" t="inlineStr">
        <is>
          <t>금강, 산림박물관 등이 한눈에 내려다보이는 최고의 조망</t>
        </is>
      </c>
      <c r="L2181" s="6">
        <f>HYPERLINK("https://fin.land.naver.com/articles/2654194653", "매물Link")</f>
        <v/>
      </c>
      <c r="M2181" s="6">
        <f>HYPERLINK("https://map.naver.com/p/search/장군면 금암리 274-54", "지도Link")</f>
        <v/>
      </c>
      <c r="N2181" s="6">
        <f>HYPERLINK("http://www.eum.go.kr/web/ar/lu/luLandDet.jsp?pnu=3611035025102740054&amp;isNoScr=script&amp;mode=search",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629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275-2</t>
        </is>
      </c>
      <c r="B2182" s="3" t="inlineStr">
        <is>
          <t>생산관리지역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84000</v>
      </c>
      <c r="G2182" s="4" t="n">
        <v>659</v>
      </c>
      <c r="H2182" s="4" t="n">
        <v>199</v>
      </c>
      <c r="I2182" s="5" t="n">
        <v>422.1</v>
      </c>
      <c r="J2182" s="5" t="n">
        <v>63.7</v>
      </c>
      <c r="K2182" s="3" t="inlineStr">
        <is>
          <t>공공시설복합단지 도로에 바로 접한 근생 최적지</t>
        </is>
      </c>
      <c r="L2182" s="6">
        <f>HYPERLINK("https://fin.land.naver.com/articles/2653414213", "매물Link")</f>
        <v/>
      </c>
      <c r="M2182" s="6">
        <f>HYPERLINK("https://map.naver.com/p/search/장군면 금암리 275-2", "지도Link")</f>
        <v/>
      </c>
      <c r="N2182" s="6">
        <f>HYPERLINK("http://www.eum.go.kr/web/ar/lu/luLandDet.jsp?pnu=3611035025102750002&amp;isNoScr=script&amp;mode=search",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659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금암리 280</t>
        </is>
      </c>
      <c r="B2183" s="3" t="inlineStr">
        <is>
          <t>생산관리지역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470000</v>
      </c>
      <c r="G2183" s="4" t="n">
        <v>2810</v>
      </c>
      <c r="H2183" s="4" t="n">
        <v>850</v>
      </c>
      <c r="I2183" s="5" t="n">
        <v>552.9</v>
      </c>
      <c r="J2183" s="5" t="n">
        <v>59.7</v>
      </c>
      <c r="K2183" s="3" t="inlineStr">
        <is>
          <t>금강, 산림박물관, 공공시설복합단지가 한눈에 내려다 보이는 최고 조망</t>
        </is>
      </c>
      <c r="L2183" s="6">
        <f>HYPERLINK("https://fin.land.naver.com/articles/2656230032", "매물Link")</f>
        <v/>
      </c>
      <c r="M2183" s="6">
        <f>HYPERLINK("https://map.naver.com/p/search/장군면 금암리 280", "지도Link")</f>
        <v/>
      </c>
      <c r="N2183" s="6">
        <f>HYPERLINK("http://www.eum.go.kr/web/ar/lu/luLandDet.jsp?pnu=3611035025102800000&amp;isNoScr=script&amp;mode=search",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2674</v>
      </c>
      <c r="R2183" s="3" t="inlineStr">
        <is>
          <t>지정되지않음</t>
        </is>
      </c>
      <c r="S2183" s="3" t="inlineStr">
        <is>
          <t>전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금암리 281-15</t>
        </is>
      </c>
      <c r="B2184" s="3" t="inlineStr">
        <is>
          <t>보전관리지역</t>
        </is>
      </c>
      <c r="C2184" s="3" t="inlineStr">
        <is>
          <t>유원지</t>
        </is>
      </c>
      <c r="D2184" s="3" t="inlineStr">
        <is>
          <t>유원지</t>
        </is>
      </c>
      <c r="E2184" s="3" t="inlineStr">
        <is>
          <t>매매</t>
        </is>
      </c>
      <c r="F2184" s="4" t="n">
        <v>90415</v>
      </c>
      <c r="G2184" s="4" t="n">
        <v>1107</v>
      </c>
      <c r="H2184" s="4" t="n">
        <v>335</v>
      </c>
      <c r="I2184" s="5" t="n">
        <v>269.9</v>
      </c>
      <c r="J2184" s="5" t="n">
        <v>126.6</v>
      </c>
      <c r="K2184" s="3" t="inlineStr">
        <is>
          <t>급매, 334p, 불티교 인접, 건물 별도, 토지 통매</t>
        </is>
      </c>
      <c r="L2184" s="6">
        <f>HYPERLINK("https://fin.land.naver.com/articles/2652940384", "매물Link")</f>
        <v/>
      </c>
      <c r="M2184" s="6">
        <f>HYPERLINK("https://map.naver.com/p/search/장군면 금암리 281-15", "지도Link")</f>
        <v/>
      </c>
      <c r="N2184" s="6">
        <f>HYPERLINK("http://www.eum.go.kr/web/ar/lu/luLandDet.jsp?pnu=3611035025102810015&amp;isNoScr=script&amp;mode=search", "토지이음")</f>
        <v/>
      </c>
      <c r="O2184" s="3" t="inlineStr">
        <is>
          <t>지금힐스</t>
        </is>
      </c>
      <c r="P2184" s="4" t="n">
        <v>1</v>
      </c>
      <c r="Q2184" s="4" t="n">
        <v>420</v>
      </c>
      <c r="R2184" s="3" t="inlineStr">
        <is>
          <t>농림지역</t>
        </is>
      </c>
      <c r="S2184" s="3" t="inlineStr">
        <is>
          <t>업무용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소로각지</t>
        </is>
      </c>
    </row>
    <row r="2185">
      <c r="A2185" s="3" t="inlineStr">
        <is>
          <t>장군면 금암리 281-23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25000</v>
      </c>
      <c r="G2185" s="4" t="n">
        <v>332</v>
      </c>
      <c r="H2185" s="4" t="n">
        <v>100</v>
      </c>
      <c r="I2185" s="5" t="n">
        <v>250</v>
      </c>
      <c r="J2185" s="5" t="n">
        <v>63.6</v>
      </c>
      <c r="K2185" s="3" t="inlineStr">
        <is>
          <t>금강조망 가능한 근생부지</t>
        </is>
      </c>
      <c r="L2185" s="6">
        <f>HYPERLINK("https://fin.land.naver.com/articles/2653411911", "매물Link")</f>
        <v/>
      </c>
      <c r="M2185" s="6">
        <f>HYPERLINK("https://map.naver.com/p/search/장군면 금암리 281-23", "지도Link")</f>
        <v/>
      </c>
      <c r="N2185" s="6">
        <f>HYPERLINK("http://www.eum.go.kr/web/ar/lu/luLandDet.jsp?pnu=3611035025102810023&amp;isNoScr=script&amp;mode=search",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332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소로한면</t>
        </is>
      </c>
    </row>
    <row r="2186">
      <c r="A2186" s="3" t="inlineStr">
        <is>
          <t>장군면 금암리 281-33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전</t>
        </is>
      </c>
      <c r="E2186" s="3" t="inlineStr">
        <is>
          <t>매매</t>
        </is>
      </c>
      <c r="F2186" s="4" t="n">
        <v>108700</v>
      </c>
      <c r="G2186" s="4" t="n">
        <v>654</v>
      </c>
      <c r="H2186" s="4" t="n">
        <v>198</v>
      </c>
      <c r="I2186" s="5" t="n">
        <v>549</v>
      </c>
      <c r="J2186" s="5" t="n">
        <v>116</v>
      </c>
      <c r="K2186" s="3" t="inlineStr">
        <is>
          <t>세종시 공공시설복합단지 정문 바로 앞</t>
        </is>
      </c>
      <c r="L2186" s="6">
        <f>HYPERLINK("https://fin.land.naver.com/articles/2651702680", "매물Link")</f>
        <v/>
      </c>
      <c r="M2186" s="6">
        <f>HYPERLINK("https://map.naver.com/p/search/장군면 금암리 281-33", "지도Link")</f>
        <v/>
      </c>
      <c r="N2186" s="6">
        <f>HYPERLINK("http://www.eum.go.kr/web/ar/lu/luLandDet.jsp?pnu=3611035025102810033&amp;isNoScr=script&amp;mode=search",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136</v>
      </c>
      <c r="R2186" s="3" t="inlineStr">
        <is>
          <t>농림지역</t>
        </is>
      </c>
      <c r="S2186" s="3" t="inlineStr">
        <is>
          <t>주거나지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소로한면</t>
        </is>
      </c>
    </row>
    <row r="2187">
      <c r="A2187" s="3" t="inlineStr">
        <is>
          <t>장군면 금암리 283-115</t>
        </is>
      </c>
      <c r="B2187" s="3" t="inlineStr">
        <is>
          <t>농림지역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11000</v>
      </c>
      <c r="G2187" s="4" t="n">
        <v>153</v>
      </c>
      <c r="H2187" s="4" t="n">
        <v>46</v>
      </c>
      <c r="I2187" s="5" t="n">
        <v>239.1</v>
      </c>
      <c r="J2187" s="5" t="n">
        <v>39.7</v>
      </c>
      <c r="K2187" s="3" t="inlineStr">
        <is>
          <t>nan</t>
        </is>
      </c>
      <c r="L2187" s="6">
        <f>HYPERLINK("https://fin.land.naver.com/articles/2654420087", "매물Link")</f>
        <v/>
      </c>
      <c r="M2187" s="6">
        <f>HYPERLINK("https://map.naver.com/p/search/장군면 금암리 283-115", "지도Link")</f>
        <v/>
      </c>
      <c r="N2187" s="6">
        <f>HYPERLINK("http://www.eum.go.kr/web/ar/lu/luLandDet.jsp?pnu=3611035025102830115&amp;isNoScr=script&amp;mode=search", "토지이음")</f>
        <v/>
      </c>
      <c r="O2187" s="3" t="inlineStr">
        <is>
          <t>그래그</t>
        </is>
      </c>
      <c r="P2187" s="4" t="n">
        <v>1</v>
      </c>
      <c r="Q2187" s="4" t="n">
        <v>153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소로한면</t>
        </is>
      </c>
    </row>
    <row r="2188">
      <c r="A2188" s="3" t="inlineStr">
        <is>
          <t>장군면 금암리 283-116</t>
        </is>
      </c>
      <c r="B2188" s="3" t="inlineStr">
        <is>
          <t>농림지역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4300</v>
      </c>
      <c r="G2188" s="4" t="n">
        <v>61</v>
      </c>
      <c r="H2188" s="4" t="n">
        <v>18</v>
      </c>
      <c r="I2188" s="5" t="n">
        <v>238.9</v>
      </c>
      <c r="J2188" s="5" t="n">
        <v>39.7</v>
      </c>
      <c r="K2188" s="3" t="inlineStr">
        <is>
          <t>nan</t>
        </is>
      </c>
      <c r="L2188" s="6">
        <f>HYPERLINK("https://fin.land.naver.com/articles/2654419667", "매물Link")</f>
        <v/>
      </c>
      <c r="M2188" s="6">
        <f>HYPERLINK("https://map.naver.com/p/search/장군면 금암리 283-116", "지도Link")</f>
        <v/>
      </c>
      <c r="N2188" s="6">
        <f>HYPERLINK("http://www.eum.go.kr/web/ar/lu/luLandDet.jsp?pnu=3611035025102830116&amp;isNoScr=script&amp;mode=search", "토지이음")</f>
        <v/>
      </c>
      <c r="O2188" s="3" t="inlineStr">
        <is>
          <t>그래그</t>
        </is>
      </c>
      <c r="P2188" s="4" t="n">
        <v>1</v>
      </c>
      <c r="Q2188" s="4" t="n">
        <v>61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소로한면</t>
        </is>
      </c>
    </row>
    <row r="2189">
      <c r="A2189" s="3" t="inlineStr">
        <is>
          <t>장군면 금암리 283-138</t>
        </is>
      </c>
      <c r="B2189" s="3" t="inlineStr">
        <is>
          <t>계획관리지역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98000</v>
      </c>
      <c r="G2189" s="4" t="n">
        <v>737</v>
      </c>
      <c r="H2189" s="4" t="n">
        <v>223</v>
      </c>
      <c r="I2189" s="5" t="n">
        <v>439.5</v>
      </c>
      <c r="J2189" s="5" t="n">
        <v>184.3</v>
      </c>
      <c r="K2189" s="3" t="inlineStr">
        <is>
          <t>금암리 청벽마을에 있는 조망 좋은 계획관리지역의 신축 전원주택입니다</t>
        </is>
      </c>
      <c r="L2189" s="6">
        <f>HYPERLINK("https://fin.land.naver.com/articles/2651946238", "매물Link")</f>
        <v/>
      </c>
      <c r="M2189" s="6">
        <f>HYPERLINK("https://map.naver.com/p/search/장군면 금암리 283-138", "지도Link")</f>
        <v/>
      </c>
      <c r="N2189" s="6">
        <f>HYPERLINK("http://www.eum.go.kr/web/ar/lu/luLandDet.jsp?pnu=3611035025102830138&amp;isNoScr=script&amp;mode=search", "토지이음")</f>
        <v/>
      </c>
      <c r="O2189" s="3" t="inlineStr">
        <is>
          <t>스마일세종</t>
        </is>
      </c>
      <c r="P2189" s="4" t="n">
        <v>1</v>
      </c>
      <c r="Q2189" s="4" t="n">
        <v>737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금암리 283-154</t>
        </is>
      </c>
      <c r="B2190" s="3" t="inlineStr">
        <is>
          <t>계획관리지역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42000</v>
      </c>
      <c r="G2190" s="4" t="n">
        <v>737</v>
      </c>
      <c r="H2190" s="4" t="n">
        <v>223</v>
      </c>
      <c r="I2190" s="5" t="n">
        <v>188.3</v>
      </c>
      <c r="J2190" s="5" t="n">
        <v>184.3</v>
      </c>
      <c r="K2190" s="3" t="inlineStr">
        <is>
          <t>첫마을에서 들어오는 금강의 물줄기가 한눈에 보이는 최고의 조망</t>
        </is>
      </c>
      <c r="L2190" s="6">
        <f>HYPERLINK("https://fin.land.naver.com/articles/2653412659", "매물Link")</f>
        <v/>
      </c>
      <c r="M2190" s="6">
        <f>HYPERLINK("https://map.naver.com/p/search/장군면 금암리 283-154", "지도Link")</f>
        <v/>
      </c>
      <c r="N2190" s="6">
        <f>HYPERLINK("http://www.eum.go.kr/web/ar/lu/luLandDet.jsp?pnu=3611035025102830154&amp;isNoScr=script&amp;mode=search", "토지이음")</f>
        <v/>
      </c>
      <c r="O2190" s="3" t="inlineStr">
        <is>
          <t>세종제일</t>
        </is>
      </c>
      <c r="P2190" s="4" t="n">
        <v>1</v>
      </c>
      <c r="Q2190" s="4" t="n">
        <v>710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가로장방</t>
        </is>
      </c>
      <c r="V2190" s="3" t="inlineStr">
        <is>
          <t>세로한면(가)</t>
        </is>
      </c>
    </row>
    <row r="2191">
      <c r="A2191" s="3" t="inlineStr">
        <is>
          <t>장군면 금암리 283-18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58000</v>
      </c>
      <c r="G2191" s="4" t="n">
        <v>826</v>
      </c>
      <c r="H2191" s="4" t="n">
        <v>250</v>
      </c>
      <c r="I2191" s="5" t="n">
        <v>232</v>
      </c>
      <c r="J2191" s="5" t="n">
        <v>140</v>
      </c>
      <c r="K2191" s="3" t="inlineStr">
        <is>
          <t>금강이 내려다보이는 안정적인 조망</t>
        </is>
      </c>
      <c r="L2191" s="6">
        <f>HYPERLINK("https://fin.land.naver.com/articles/2653412485", "매물Link")</f>
        <v/>
      </c>
      <c r="M2191" s="6">
        <f>HYPERLINK("https://map.naver.com/p/search/장군면 금암리 283-18", "지도Link")</f>
        <v/>
      </c>
      <c r="N2191" s="6">
        <f>HYPERLINK("http://www.eum.go.kr/web/ar/lu/luLandDet.jsp?pnu=3611035025102830018&amp;isNoScr=script&amp;mode=search", "토지이음")</f>
        <v/>
      </c>
      <c r="O2191" s="3" t="inlineStr">
        <is>
          <t>세종제일</t>
        </is>
      </c>
      <c r="P2191" s="4" t="n">
        <v>1</v>
      </c>
      <c r="Q2191" s="4" t="n">
        <v>612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283-18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43000</v>
      </c>
      <c r="G2192" s="4" t="n">
        <v>612</v>
      </c>
      <c r="H2192" s="4" t="n">
        <v>185</v>
      </c>
      <c r="I2192" s="5" t="n">
        <v>232.4</v>
      </c>
      <c r="J2192" s="5" t="n">
        <v>140</v>
      </c>
      <c r="K2192" s="3" t="inlineStr">
        <is>
          <t>nan</t>
        </is>
      </c>
      <c r="L2192" s="6">
        <f>HYPERLINK("https://fin.land.naver.com/articles/2654419973", "매물Link")</f>
        <v/>
      </c>
      <c r="M2192" s="6">
        <f>HYPERLINK("https://map.naver.com/p/search/장군면 금암리 283-18", "지도Link")</f>
        <v/>
      </c>
      <c r="N2192" s="6">
        <f>HYPERLINK("http://www.eum.go.kr/web/ar/lu/luLandDet.jsp?pnu=3611035025102830018&amp;isNoScr=script&amp;mode=search", "토지이음")</f>
        <v/>
      </c>
      <c r="O2192" s="3" t="inlineStr">
        <is>
          <t>그래그</t>
        </is>
      </c>
      <c r="P2192" s="4" t="n">
        <v>1</v>
      </c>
      <c r="Q2192" s="4" t="n">
        <v>612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283-5</t>
        </is>
      </c>
      <c r="B2193" s="3" t="inlineStr">
        <is>
          <t>생산관리지역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43000</v>
      </c>
      <c r="G2193" s="4" t="n">
        <v>512</v>
      </c>
      <c r="H2193" s="4" t="n">
        <v>155</v>
      </c>
      <c r="I2193" s="5" t="n">
        <v>277.4</v>
      </c>
      <c r="J2193" s="5" t="n">
        <v>58</v>
      </c>
      <c r="K2193" s="3" t="inlineStr">
        <is>
          <t>공공시설복합단지에 가깝고, 금강 조망 가능함.</t>
        </is>
      </c>
      <c r="L2193" s="6">
        <f>HYPERLINK("https://fin.land.naver.com/articles/2653412271", "매물Link")</f>
        <v/>
      </c>
      <c r="M2193" s="6">
        <f>HYPERLINK("https://map.naver.com/p/search/장군면 금암리 283-5", "지도Link")</f>
        <v/>
      </c>
      <c r="N2193" s="6">
        <f>HYPERLINK("http://www.eum.go.kr/web/ar/lu/luLandDet.jsp?pnu=3611035025102830005&amp;isNoScr=script&amp;mode=search",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512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세로한면(불)</t>
        </is>
      </c>
    </row>
    <row r="2194">
      <c r="A2194" s="3" t="inlineStr">
        <is>
          <t>장군면 금암리 288</t>
        </is>
      </c>
      <c r="B2194" s="3" t="inlineStr">
        <is>
          <t>생산관리지역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814500</v>
      </c>
      <c r="G2194" s="4" t="n">
        <v>1496</v>
      </c>
      <c r="H2194" s="4" t="n">
        <v>453</v>
      </c>
      <c r="I2194" s="5" t="n">
        <v>1798</v>
      </c>
      <c r="J2194" s="5" t="n">
        <v>188.8</v>
      </c>
      <c r="K2194" s="3" t="inlineStr">
        <is>
          <t>세종시 공공시설복합단지 정문 앞</t>
        </is>
      </c>
      <c r="L2194" s="6">
        <f>HYPERLINK("https://fin.land.naver.com/articles/2655617302", "매물Link")</f>
        <v/>
      </c>
      <c r="M2194" s="6">
        <f>HYPERLINK("https://map.naver.com/p/search/장군면 금암리 288", "지도Link")</f>
        <v/>
      </c>
      <c r="N2194" s="6">
        <f>HYPERLINK("http://www.eum.go.kr/web/ar/lu/luLandDet.jsp?pnu=3611035025102880000&amp;isNoScr=script&amp;mode=search",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1000</v>
      </c>
      <c r="R2194" s="3" t="inlineStr">
        <is>
          <t>지정되지않음</t>
        </is>
      </c>
      <c r="S2194" s="3" t="inlineStr">
        <is>
          <t>상업용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소로한면</t>
        </is>
      </c>
    </row>
    <row r="2195">
      <c r="A2195" s="3" t="inlineStr">
        <is>
          <t>장군면 금암리 288-2</t>
        </is>
      </c>
      <c r="B2195" s="3" t="inlineStr">
        <is>
          <t>생산관리지역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320000</v>
      </c>
      <c r="G2195" s="4" t="n">
        <v>1515</v>
      </c>
      <c r="H2195" s="4" t="n">
        <v>458</v>
      </c>
      <c r="I2195" s="5" t="n">
        <v>698.7</v>
      </c>
      <c r="J2195" s="5" t="n">
        <v>74</v>
      </c>
      <c r="K2195" s="3" t="inlineStr">
        <is>
          <t>세종시 공공시설복합단지 정문 바로 앞</t>
        </is>
      </c>
      <c r="L2195" s="6">
        <f>HYPERLINK("https://fin.land.naver.com/articles/2656230439", "매물Link")</f>
        <v/>
      </c>
      <c r="M2195" s="6">
        <f>HYPERLINK("https://map.naver.com/p/search/장군면 금암리 288-2", "지도Link")</f>
        <v/>
      </c>
      <c r="N2195" s="6">
        <f>HYPERLINK("http://www.eum.go.kr/web/ar/lu/luLandDet.jsp?pnu=3611035025102880002&amp;isNoScr=script&amp;mode=search",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1460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300-13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236800</v>
      </c>
      <c r="G2196" s="4" t="n">
        <v>980</v>
      </c>
      <c r="H2196" s="4" t="n">
        <v>296</v>
      </c>
      <c r="I2196" s="5" t="n">
        <v>800</v>
      </c>
      <c r="J2196" s="5" t="n">
        <v>188.1</v>
      </c>
      <c r="K2196" s="3" t="inlineStr">
        <is>
          <t>금강뷰 대로변 앞 위치좋은 농협교육원 바로옆 카페 식당 근생 건축</t>
        </is>
      </c>
      <c r="L2196" s="6">
        <f>HYPERLINK("https://fin.land.naver.com/articles/2656204974", "매물Link")</f>
        <v/>
      </c>
      <c r="M2196" s="6">
        <f>HYPERLINK("https://map.naver.com/p/search/장군면 금암리 300-13", "지도Link")</f>
        <v/>
      </c>
      <c r="N2196" s="6">
        <f>HYPERLINK("http://www.eum.go.kr/web/ar/lu/luLandDet.jsp?pnu=3611035025103000013&amp;isNoScr=script&amp;mode=search", "토지이음")</f>
        <v/>
      </c>
      <c r="O2196" s="3" t="inlineStr">
        <is>
          <t>나침반</t>
        </is>
      </c>
      <c r="P2196" s="4" t="n">
        <v>1</v>
      </c>
      <c r="Q2196" s="4" t="n">
        <v>737</v>
      </c>
      <c r="R2196" s="3" t="inlineStr">
        <is>
          <t>지정되지않음</t>
        </is>
      </c>
      <c r="S2196" s="3" t="inlineStr">
        <is>
          <t>단독</t>
        </is>
      </c>
      <c r="T2196" s="3" t="inlineStr">
        <is>
          <t>완경사</t>
        </is>
      </c>
      <c r="U2196" s="3" t="inlineStr">
        <is>
          <t>사다리형</t>
        </is>
      </c>
      <c r="V2196" s="3" t="inlineStr">
        <is>
          <t>세로한면(가)</t>
        </is>
      </c>
    </row>
    <row r="2197">
      <c r="A2197" s="3" t="inlineStr">
        <is>
          <t>장군면 금암리 300-2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90000</v>
      </c>
      <c r="G2197" s="4" t="n">
        <v>847</v>
      </c>
      <c r="H2197" s="4" t="n">
        <v>256</v>
      </c>
      <c r="I2197" s="5" t="n">
        <v>351.6</v>
      </c>
      <c r="J2197" s="5" t="n">
        <v>50.7</v>
      </c>
      <c r="K2197" s="3" t="inlineStr">
        <is>
          <t>공공시설복합단지 인접.  금강 조망</t>
        </is>
      </c>
      <c r="L2197" s="6">
        <f>HYPERLINK("https://fin.land.naver.com/articles/2653413995", "매물Link")</f>
        <v/>
      </c>
      <c r="M2197" s="6">
        <f>HYPERLINK("https://map.naver.com/p/search/장군면 금암리 300-2", "지도Link")</f>
        <v/>
      </c>
      <c r="N2197" s="6">
        <f>HYPERLINK("http://www.eum.go.kr/web/ar/lu/luLandDet.jsp?pnu=3611035025103000002&amp;isNoScr=script&amp;mode=search",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847</v>
      </c>
      <c r="R2197" s="3" t="inlineStr">
        <is>
          <t>지정되지않음</t>
        </is>
      </c>
      <c r="S2197" s="3" t="inlineStr">
        <is>
          <t>토지임야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소로한면</t>
        </is>
      </c>
    </row>
    <row r="2198">
      <c r="A2198" s="3" t="inlineStr">
        <is>
          <t>장군면 금암리 300-23</t>
        </is>
      </c>
      <c r="B2198" s="3" t="inlineStr">
        <is>
          <t>계획관리지역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80000</v>
      </c>
      <c r="G2198" s="4" t="n">
        <v>737</v>
      </c>
      <c r="H2198" s="4" t="n">
        <v>223</v>
      </c>
      <c r="I2198" s="5" t="n">
        <v>358.7</v>
      </c>
      <c r="J2198" s="5" t="n">
        <v>184.3</v>
      </c>
      <c r="K2198" s="3" t="inlineStr">
        <is>
          <t>세종시에서 금강이 내려다 보이는 단독주택단지 내 위치</t>
        </is>
      </c>
      <c r="L2198" s="6">
        <f>HYPERLINK("https://fin.land.naver.com/articles/2653526965", "매물Link")</f>
        <v/>
      </c>
      <c r="M2198" s="6">
        <f>HYPERLINK("https://map.naver.com/p/search/장군면 금암리 300-23", "지도Link")</f>
        <v/>
      </c>
      <c r="N2198" s="6">
        <f>HYPERLINK("http://www.eum.go.kr/web/ar/lu/luLandDet.jsp?pnu=3611035025103000023&amp;isNoScr=script&amp;mode=search", "토지이음")</f>
        <v/>
      </c>
      <c r="O2198" s="3" t="inlineStr">
        <is>
          <t>정직한한국</t>
        </is>
      </c>
      <c r="P2198" s="4" t="n">
        <v>1</v>
      </c>
      <c r="Q2198" s="4" t="n">
        <v>737</v>
      </c>
      <c r="R2198" s="3" t="inlineStr">
        <is>
          <t>지정되지않음</t>
        </is>
      </c>
      <c r="S2198" s="3" t="inlineStr">
        <is>
          <t>단독</t>
        </is>
      </c>
      <c r="T2198" s="3" t="inlineStr">
        <is>
          <t>완경사</t>
        </is>
      </c>
      <c r="U2198" s="3" t="inlineStr">
        <is>
          <t>가로장방</t>
        </is>
      </c>
      <c r="V2198" s="3" t="inlineStr">
        <is>
          <t>세로한면(가)</t>
        </is>
      </c>
    </row>
    <row r="2199">
      <c r="A2199" s="3" t="inlineStr">
        <is>
          <t>장군면 금암리 302-15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72000</v>
      </c>
      <c r="G2199" s="4" t="n">
        <v>603</v>
      </c>
      <c r="H2199" s="4" t="n">
        <v>182</v>
      </c>
      <c r="I2199" s="5" t="n">
        <v>395.6</v>
      </c>
      <c r="J2199" s="5" t="n">
        <v>196.4</v>
      </c>
      <c r="K2199" s="3" t="inlineStr">
        <is>
          <t>금강뷰 대로변 전원 주택지 매매 추천</t>
        </is>
      </c>
      <c r="L2199" s="6">
        <f>HYPERLINK("https://fin.land.naver.com/articles/2654772609", "매물Link")</f>
        <v/>
      </c>
      <c r="M2199" s="6">
        <f>HYPERLINK("https://map.naver.com/p/search/장군면 금암리 302-15", "지도Link")</f>
        <v/>
      </c>
      <c r="N2199" s="6">
        <f>HYPERLINK("http://www.eum.go.kr/web/ar/lu/luLandDet.jsp?pnu=3611035025103020015&amp;isNoScr=script&amp;mode=search", "토지이음")</f>
        <v/>
      </c>
      <c r="O2199" s="3" t="inlineStr">
        <is>
          <t>광장(프라자)</t>
        </is>
      </c>
      <c r="P2199" s="4" t="n">
        <v>1</v>
      </c>
      <c r="Q2199" s="4" t="n">
        <v>603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302-16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68000</v>
      </c>
      <c r="G2200" s="4" t="n">
        <v>599</v>
      </c>
      <c r="H2200" s="4" t="n">
        <v>181</v>
      </c>
      <c r="I2200" s="5" t="n">
        <v>375.7</v>
      </c>
      <c r="J2200" s="5" t="n">
        <v>202.6</v>
      </c>
      <c r="K2200" s="3" t="inlineStr">
        <is>
          <t>불티교 앞 전원마을에 위치한 택지, 계획관리, 자연취락지구</t>
        </is>
      </c>
      <c r="L2200" s="6">
        <f>HYPERLINK("https://fin.land.naver.com/articles/2655389459", "매물Link")</f>
        <v/>
      </c>
      <c r="M2200" s="6">
        <f>HYPERLINK("https://map.naver.com/p/search/장군면 금암리 302-16", "지도Link")</f>
        <v/>
      </c>
      <c r="N2200" s="6">
        <f>HYPERLINK("http://www.eum.go.kr/web/ar/lu/luLandDet.jsp?pnu=3611035025103020016&amp;isNoScr=script&amp;mode=search", "토지이음")</f>
        <v/>
      </c>
      <c r="O2200" s="3" t="inlineStr">
        <is>
          <t>the다올</t>
        </is>
      </c>
      <c r="P2200" s="4" t="n">
        <v>1</v>
      </c>
      <c r="Q2200" s="4" t="n">
        <v>599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302-52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95000</v>
      </c>
      <c r="G2201" s="4" t="n">
        <v>710</v>
      </c>
      <c r="H2201" s="4" t="n">
        <v>215</v>
      </c>
      <c r="I2201" s="5" t="n">
        <v>441.9</v>
      </c>
      <c r="J2201" s="5" t="n">
        <v>200.6</v>
      </c>
      <c r="K2201" s="3" t="inlineStr">
        <is>
          <t>전망좋은 전원주택 단지 배산임수</t>
        </is>
      </c>
      <c r="L2201" s="6">
        <f>HYPERLINK("https://fin.land.naver.com/articles/2656082346", "매물Link")</f>
        <v/>
      </c>
      <c r="M2201" s="6">
        <f>HYPERLINK("https://map.naver.com/p/search/장군면 금암리 302-52", "지도Link")</f>
        <v/>
      </c>
      <c r="N2201" s="6">
        <f>HYPERLINK("http://www.eum.go.kr/web/ar/lu/luLandDet.jsp?pnu=3611035025103020052&amp;isNoScr=script&amp;mode=search", "토지이음")</f>
        <v/>
      </c>
      <c r="O2201" s="3" t="inlineStr">
        <is>
          <t>나릿재OK</t>
        </is>
      </c>
      <c r="P2201" s="4" t="n">
        <v>1</v>
      </c>
      <c r="Q2201" s="4" t="n">
        <v>710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314-113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436</v>
      </c>
      <c r="H2202" s="4" t="n">
        <v>132</v>
      </c>
      <c r="I2202" s="5" t="n">
        <v>340.9</v>
      </c>
      <c r="J2202" s="5" t="n">
        <v>200.6</v>
      </c>
      <c r="K2202" s="3" t="inlineStr">
        <is>
          <t>급매,청벽마을 단독전원주택지, 청벽의 절경과 금강 뷰가 좋은 전원주택지</t>
        </is>
      </c>
      <c r="L2202" s="6">
        <f>HYPERLINK("https://fin.land.naver.com/articles/2653861102", "매물Link")</f>
        <v/>
      </c>
      <c r="M2202" s="6">
        <f>HYPERLINK("https://map.naver.com/p/search/장군면 금암리 314-113", "지도Link")</f>
        <v/>
      </c>
      <c r="N2202" s="6">
        <f>HYPERLINK("http://www.eum.go.kr/web/ar/lu/luLandDet.jsp?pnu=3611035025103140113&amp;isNoScr=script&amp;mode=search",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436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314-59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75000</v>
      </c>
      <c r="G2203" s="4" t="n">
        <v>531</v>
      </c>
      <c r="H2203" s="4" t="n">
        <v>161</v>
      </c>
      <c r="I2203" s="5" t="n">
        <v>465.8</v>
      </c>
      <c r="J2203" s="5" t="n">
        <v>200.6</v>
      </c>
      <c r="K2203" s="3" t="inlineStr">
        <is>
          <t>세종시에서 금강이 내려다 보이는 전원주택단지에 위치한 2층 단독주택</t>
        </is>
      </c>
      <c r="L2203" s="6">
        <f>HYPERLINK("https://fin.land.naver.com/articles/2653527111", "매물Link")</f>
        <v/>
      </c>
      <c r="M2203" s="6">
        <f>HYPERLINK("https://map.naver.com/p/search/장군면 금암리 314-59", "지도Link")</f>
        <v/>
      </c>
      <c r="N2203" s="6">
        <f>HYPERLINK("http://www.eum.go.kr/web/ar/lu/luLandDet.jsp?pnu=3611035025103140059&amp;isNoScr=script&amp;mode=search", "토지이음")</f>
        <v/>
      </c>
      <c r="O2203" s="3" t="inlineStr">
        <is>
          <t>정직한한국</t>
        </is>
      </c>
      <c r="P2203" s="4" t="n">
        <v>1</v>
      </c>
      <c r="Q2203" s="4" t="n">
        <v>531</v>
      </c>
      <c r="R2203" s="3" t="inlineStr">
        <is>
          <t>지정되지않음</t>
        </is>
      </c>
      <c r="S2203" s="3" t="inlineStr">
        <is>
          <t>단독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314-64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56000</v>
      </c>
      <c r="G2204" s="4" t="n">
        <v>525</v>
      </c>
      <c r="H2204" s="4" t="n">
        <v>159</v>
      </c>
      <c r="I2204" s="5" t="n">
        <v>352.2</v>
      </c>
      <c r="J2204" s="5" t="n">
        <v>204.6</v>
      </c>
      <c r="K2204" s="3" t="inlineStr">
        <is>
          <t>금암리 전원마을 모양좋은 전원주택지, 전망좋아요</t>
        </is>
      </c>
      <c r="L2204" s="6">
        <f>HYPERLINK("https://fin.land.naver.com/articles/2651561536", "매물Link")</f>
        <v/>
      </c>
      <c r="M2204" s="6">
        <f>HYPERLINK("https://map.naver.com/p/search/장군면 금암리 314-64", "지도Link")</f>
        <v/>
      </c>
      <c r="N2204" s="6">
        <f>HYPERLINK("http://www.eum.go.kr/web/ar/lu/luLandDet.jsp?pnu=3611035025103140064&amp;isNoScr=script&amp;mode=search", "토지이음")</f>
        <v/>
      </c>
      <c r="O2204" s="3" t="inlineStr">
        <is>
          <t>부엉이</t>
        </is>
      </c>
      <c r="P2204" s="4" t="n">
        <v>1</v>
      </c>
      <c r="Q2204" s="4" t="n">
        <v>525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세로각지(가)</t>
        </is>
      </c>
    </row>
    <row r="2205">
      <c r="A2205" s="3" t="inlineStr">
        <is>
          <t>장군면 금암리 331</t>
        </is>
      </c>
      <c r="B2205" s="3" t="inlineStr">
        <is>
          <t>계획관리지역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550000</v>
      </c>
      <c r="G2205" s="4" t="n">
        <v>3203</v>
      </c>
      <c r="H2205" s="4" t="n">
        <v>969</v>
      </c>
      <c r="I2205" s="5" t="n">
        <v>567.6</v>
      </c>
      <c r="J2205" s="5" t="n">
        <v>90</v>
      </c>
      <c r="K2205" s="3" t="inlineStr">
        <is>
          <t>세종시 장군면 금암리 대형평수 위치 좋은 계획관리 토지</t>
        </is>
      </c>
      <c r="L2205" s="6">
        <f>HYPERLINK("https://fin.land.naver.com/articles/2653813158", "매물Link")</f>
        <v/>
      </c>
      <c r="M2205" s="6">
        <f>HYPERLINK("https://map.naver.com/p/search/장군면 금암리 331", "지도Link")</f>
        <v/>
      </c>
      <c r="N2205" s="6">
        <f>HYPERLINK("http://www.eum.go.kr/web/ar/lu/luLandDet.jsp?pnu=3611035025103310000&amp;isNoScr=script&amp;mode=search", "토지이음")</f>
        <v/>
      </c>
      <c r="O2205" s="3" t="inlineStr">
        <is>
          <t>뉴스카이</t>
        </is>
      </c>
      <c r="P2205" s="4" t="n">
        <v>1</v>
      </c>
      <c r="Q2205" s="4" t="n">
        <v>1233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금암리 367-26</t>
        </is>
      </c>
      <c r="B2206" s="3" t="inlineStr">
        <is>
          <t>생산관리지역</t>
        </is>
      </c>
      <c r="C2206" s="3" t="inlineStr">
        <is>
          <t>임야</t>
        </is>
      </c>
      <c r="D2206" s="3" t="inlineStr">
        <is>
          <t>대</t>
        </is>
      </c>
      <c r="E2206" s="3" t="inlineStr">
        <is>
          <t>매매</t>
        </is>
      </c>
      <c r="F2206" s="4" t="n">
        <v>48000</v>
      </c>
      <c r="G2206" s="4" t="n">
        <v>556</v>
      </c>
      <c r="H2206" s="4" t="n">
        <v>168</v>
      </c>
      <c r="I2206" s="5" t="n">
        <v>285.7</v>
      </c>
      <c r="J2206" s="5" t="n">
        <v>168.2</v>
      </c>
      <c r="K2206" s="3" t="inlineStr">
        <is>
          <t>벙커 주차장을 만들수 있는 대지, 뷰가 나오는 택지입니다. 전화주셔요</t>
        </is>
      </c>
      <c r="L2206" s="6">
        <f>HYPERLINK("https://fin.land.naver.com/articles/2655687744", "매물Link")</f>
        <v/>
      </c>
      <c r="M2206" s="6">
        <f>HYPERLINK("https://map.naver.com/p/search/장군면 금암리 367-26", "지도Link")</f>
        <v/>
      </c>
      <c r="N2206" s="6">
        <f>HYPERLINK("http://www.eum.go.kr/web/ar/lu/luLandDet.jsp?pnu=3611035025103670026&amp;isNoScr=script&amp;mode=search", "토지이음")</f>
        <v/>
      </c>
      <c r="O2206" s="3" t="inlineStr">
        <is>
          <t>최무연</t>
        </is>
      </c>
      <c r="P2206" s="4" t="n">
        <v>1</v>
      </c>
      <c r="Q2206" s="4" t="n">
        <v>500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금암리 367-3</t>
        </is>
      </c>
      <c r="B2207" s="3" t="inlineStr">
        <is>
          <t>생산관리지역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57000</v>
      </c>
      <c r="G2207" s="4" t="n">
        <v>764</v>
      </c>
      <c r="H2207" s="4" t="n">
        <v>231</v>
      </c>
      <c r="I2207" s="5" t="n">
        <v>246.8</v>
      </c>
      <c r="J2207" s="5" t="n">
        <v>34.7</v>
      </c>
      <c r="K2207" s="3" t="inlineStr">
        <is>
          <t>금암리 전원 마을, 금강 조망권 좋은 토지, 배산임수 , 투자 적합,</t>
        </is>
      </c>
      <c r="L2207" s="6">
        <f>HYPERLINK("https://fin.land.naver.com/articles/2654093543", "매물Link")</f>
        <v/>
      </c>
      <c r="M2207" s="6">
        <f>HYPERLINK("https://map.naver.com/p/search/장군면 금암리 367-3", "지도Link")</f>
        <v/>
      </c>
      <c r="N2207" s="6">
        <f>HYPERLINK("http://www.eum.go.kr/web/ar/lu/luLandDet.jsp?pnu=3611035025103670003&amp;isNoScr=script&amp;mode=search", "토지이음")</f>
        <v/>
      </c>
      <c r="O2207" s="3" t="inlineStr">
        <is>
          <t>세종</t>
        </is>
      </c>
      <c r="P2207" s="4" t="n">
        <v>1</v>
      </c>
      <c r="Q2207" s="4" t="n">
        <v>764</v>
      </c>
      <c r="R2207" s="3" t="inlineStr">
        <is>
          <t>지정되지않음</t>
        </is>
      </c>
      <c r="S2207" s="3" t="inlineStr">
        <is>
          <t>자연림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세로한면(불)</t>
        </is>
      </c>
    </row>
    <row r="2208">
      <c r="A2208" s="3" t="inlineStr">
        <is>
          <t>장군면 금암리 378-28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60000</v>
      </c>
      <c r="G2208" s="4" t="n">
        <v>628</v>
      </c>
      <c r="H2208" s="4" t="n">
        <v>190</v>
      </c>
      <c r="I2208" s="5" t="n">
        <v>315.8</v>
      </c>
      <c r="J2208" s="5" t="n">
        <v>223.6</v>
      </c>
      <c r="K2208" s="3" t="inlineStr">
        <is>
          <t>계획관리지역, 전원주택지, 도로연접, 세종시15분이내</t>
        </is>
      </c>
      <c r="L2208" s="6">
        <f>HYPERLINK("https://fin.land.naver.com/articles/2651951147", "매물Link")</f>
        <v/>
      </c>
      <c r="M2208" s="6">
        <f>HYPERLINK("https://map.naver.com/p/search/장군면 금암리 378-28", "지도Link")</f>
        <v/>
      </c>
      <c r="N2208" s="6">
        <f>HYPERLINK("http://www.eum.go.kr/web/ar/lu/luLandDet.jsp?pnu=3611035025103780028&amp;isNoScr=script&amp;mode=search", "토지이음")</f>
        <v/>
      </c>
      <c r="O2208" s="3" t="inlineStr">
        <is>
          <t>Home</t>
        </is>
      </c>
      <c r="P2208" s="4" t="n">
        <v>1</v>
      </c>
      <c r="Q2208" s="4" t="n">
        <v>470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소로각지</t>
        </is>
      </c>
    </row>
    <row r="2209">
      <c r="A2209" s="3" t="inlineStr">
        <is>
          <t>장군면 금암리 378-28</t>
        </is>
      </c>
      <c r="B2209" s="3" t="inlineStr">
        <is>
          <t>보전관리지역</t>
        </is>
      </c>
      <c r="C2209" s="3" t="inlineStr">
        <is>
          <t>임야</t>
        </is>
      </c>
      <c r="D2209" s="3" t="inlineStr">
        <is>
          <t>대</t>
        </is>
      </c>
      <c r="E2209" s="3" t="inlineStr">
        <is>
          <t>매매</t>
        </is>
      </c>
      <c r="F2209" s="4" t="n">
        <v>52000</v>
      </c>
      <c r="G2209" s="4" t="n">
        <v>470</v>
      </c>
      <c r="H2209" s="4" t="n">
        <v>142</v>
      </c>
      <c r="I2209" s="5" t="n">
        <v>366.2</v>
      </c>
      <c r="J2209" s="5" t="n">
        <v>223.6</v>
      </c>
      <c r="K2209" s="3" t="inlineStr">
        <is>
          <t>공주가는길농협연수원근처,전원주택즉시건축가능,첫마을에서10분지대가높고좋아요</t>
        </is>
      </c>
      <c r="L2209" s="6">
        <f>HYPERLINK("https://fin.land.naver.com/articles/2653891318", "매물Link")</f>
        <v/>
      </c>
      <c r="M2209" s="6">
        <f>HYPERLINK("https://map.naver.com/p/search/장군면 금암리 378-28", "지도Link")</f>
        <v/>
      </c>
      <c r="N2209" s="6">
        <f>HYPERLINK("http://www.eum.go.kr/web/ar/lu/luLandDet.jsp?pnu=3611035025103780028&amp;isNoScr=script&amp;mode=search", "토지이음")</f>
        <v/>
      </c>
      <c r="O2209" s="3" t="inlineStr">
        <is>
          <t>신대륙</t>
        </is>
      </c>
      <c r="P2209" s="4" t="n">
        <v>1</v>
      </c>
      <c r="Q2209" s="4" t="n">
        <v>470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가로장방</t>
        </is>
      </c>
      <c r="V2209" s="3" t="inlineStr">
        <is>
          <t>소로각지</t>
        </is>
      </c>
    </row>
    <row r="2210">
      <c r="A2210" s="3" t="inlineStr">
        <is>
          <t>장군면 금암리 378-35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85000</v>
      </c>
      <c r="G2210" s="4" t="n">
        <v>701</v>
      </c>
      <c r="H2210" s="4" t="n">
        <v>212</v>
      </c>
      <c r="I2210" s="5" t="n">
        <v>400.9</v>
      </c>
      <c r="J2210" s="5" t="n">
        <v>196.2</v>
      </c>
      <c r="K2210" s="3" t="inlineStr">
        <is>
          <t>세종시 신도시및금강인접 주변 이쁜주택주지조성된 곳 금강 조망</t>
        </is>
      </c>
      <c r="L2210" s="6">
        <f>HYPERLINK("https://fin.land.naver.com/articles/2656361595", "매물Link")</f>
        <v/>
      </c>
      <c r="M2210" s="6">
        <f>HYPERLINK("https://map.naver.com/p/search/장군면 금암리 378-35", "지도Link")</f>
        <v/>
      </c>
      <c r="N2210" s="6">
        <f>HYPERLINK("http://www.eum.go.kr/web/ar/lu/luLandDet.jsp?pnu=3611035025103780035&amp;isNoScr=script&amp;mode=search", "토지이음")</f>
        <v/>
      </c>
      <c r="O2210" s="3" t="inlineStr">
        <is>
          <t>세종강남</t>
        </is>
      </c>
      <c r="P2210" s="4" t="n">
        <v>2</v>
      </c>
      <c r="Q2210" s="4" t="n">
        <v>582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세로장방</t>
        </is>
      </c>
      <c r="V2210" s="3" t="inlineStr">
        <is>
          <t>세로한면(가)</t>
        </is>
      </c>
    </row>
    <row r="2211">
      <c r="A2211" s="3" t="inlineStr">
        <is>
          <t>장군면 금암리 378-44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100000</v>
      </c>
      <c r="G2211" s="4" t="n">
        <v>885</v>
      </c>
      <c r="H2211" s="4" t="n">
        <v>268</v>
      </c>
      <c r="I2211" s="5" t="n">
        <v>373.1</v>
      </c>
      <c r="J2211" s="5" t="n">
        <v>128.7</v>
      </c>
      <c r="K2211" s="3" t="inlineStr">
        <is>
          <t>금강이 잘 보이는 청벽 전원주택부지로 택지개발 완료한 급매물입니다.</t>
        </is>
      </c>
      <c r="L2211" s="6">
        <f>HYPERLINK("https://fin.land.naver.com/articles/2651478021", "매물Link")</f>
        <v/>
      </c>
      <c r="M2211" s="6">
        <f>HYPERLINK("https://map.naver.com/p/search/장군면 금암리 378-44", "지도Link")</f>
        <v/>
      </c>
      <c r="N2211" s="6">
        <f>HYPERLINK("http://www.eum.go.kr/web/ar/lu/luLandDet.jsp?pnu=3611035025103780044&amp;isNoScr=script&amp;mode=search", "토지이음")</f>
        <v/>
      </c>
      <c r="O2211" s="3" t="inlineStr">
        <is>
          <t>스마일세종</t>
        </is>
      </c>
      <c r="P2211" s="4" t="n">
        <v>1</v>
      </c>
      <c r="Q2211" s="4" t="n">
        <v>725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금암리 40</t>
        </is>
      </c>
      <c r="B2212" s="3" t="inlineStr">
        <is>
          <t>계획관리지역</t>
        </is>
      </c>
      <c r="C2212" s="3" t="inlineStr">
        <is>
          <t>전</t>
        </is>
      </c>
      <c r="D2212" s="3" t="inlineStr">
        <is>
          <t>기타</t>
        </is>
      </c>
      <c r="E2212" s="3" t="inlineStr">
        <is>
          <t>매매</t>
        </is>
      </c>
      <c r="F2212" s="4" t="n">
        <v>2020960</v>
      </c>
      <c r="G2212" s="4" t="n">
        <v>42052</v>
      </c>
      <c r="H2212" s="4" t="n">
        <v>12721</v>
      </c>
      <c r="I2212" s="5" t="n">
        <v>158.9</v>
      </c>
      <c r="J2212" s="5" t="n">
        <v>69.2</v>
      </c>
      <c r="K2212" s="3" t="inlineStr">
        <is>
          <t>세종시초입 전원주택 또는 요양원개발에 적합 총11필지</t>
        </is>
      </c>
      <c r="L2212" s="6">
        <f>HYPERLINK("https://fin.land.naver.com/articles/2655019598", "매물Link")</f>
        <v/>
      </c>
      <c r="M2212" s="6">
        <f>HYPERLINK("https://map.naver.com/p/search/장군면 금암리 40", "지도Link")</f>
        <v/>
      </c>
      <c r="N2212" s="6">
        <f>HYPERLINK("http://www.eum.go.kr/web/ar/lu/luLandDet.jsp?pnu=3611035025100400000&amp;isNoScr=script&amp;mode=search", "토지이음")</f>
        <v/>
      </c>
      <c r="O2212" s="3" t="inlineStr">
        <is>
          <t>바다하리</t>
        </is>
      </c>
      <c r="P2212" s="4" t="n">
        <v>1</v>
      </c>
      <c r="Q2212" s="4" t="n">
        <v>1210</v>
      </c>
      <c r="R2212" s="3" t="inlineStr">
        <is>
          <t>지정되지않음</t>
        </is>
      </c>
      <c r="S2212" s="3" t="inlineStr">
        <is>
          <t>전축사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장군면 금암리 500-1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40000</v>
      </c>
      <c r="G2213" s="4" t="n">
        <v>763</v>
      </c>
      <c r="H2213" s="4" t="n">
        <v>231</v>
      </c>
      <c r="I2213" s="5" t="n">
        <v>173.2</v>
      </c>
      <c r="J2213" s="5" t="n">
        <v>36.7</v>
      </c>
      <c r="K2213" s="3" t="inlineStr">
        <is>
          <t>조용하고 한적한 전원 주택지.</t>
        </is>
      </c>
      <c r="L2213" s="6">
        <f>HYPERLINK("https://fin.land.naver.com/articles/2655951986", "매물Link")</f>
        <v/>
      </c>
      <c r="M2213" s="6">
        <f>HYPERLINK("https://map.naver.com/p/search/장군면 금암리 500-1", "지도Link")</f>
        <v/>
      </c>
      <c r="N2213" s="6">
        <f>HYPERLINK("http://www.eum.go.kr/web/ar/lu/luLandDet.jsp?pnu=3611035025105000001&amp;isNoScr=script&amp;mode=search", "토지이음")</f>
        <v/>
      </c>
      <c r="O2213" s="3" t="inlineStr">
        <is>
          <t>진흥채</t>
        </is>
      </c>
      <c r="P2213" s="4" t="n">
        <v>2</v>
      </c>
      <c r="Q2213" s="4" t="n">
        <v>763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세로한면(가)</t>
        </is>
      </c>
    </row>
    <row r="2214">
      <c r="A2214" s="3" t="inlineStr">
        <is>
          <t>장군면 금암리 86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전</t>
        </is>
      </c>
      <c r="E2214" s="3" t="inlineStr">
        <is>
          <t>매매</t>
        </is>
      </c>
      <c r="F2214" s="4" t="n">
        <v>15000</v>
      </c>
      <c r="G2214" s="4" t="n">
        <v>912</v>
      </c>
      <c r="H2214" s="4" t="n">
        <v>276</v>
      </c>
      <c r="I2214" s="5" t="n">
        <v>54.3</v>
      </c>
      <c r="J2214" s="5" t="n">
        <v>34.6</v>
      </c>
      <c r="K2214" s="3" t="inlineStr">
        <is>
          <t>공지지가9600만 대전에서  가까운주말농장이나 전원주택  국유지 사용가능</t>
        </is>
      </c>
      <c r="L2214" s="6">
        <f>HYPERLINK("https://fin.land.naver.com/articles/2652409167", "매물Link")</f>
        <v/>
      </c>
      <c r="M2214" s="6">
        <f>HYPERLINK("https://map.naver.com/p/search/장군면 금암리 86", "지도Link")</f>
        <v/>
      </c>
      <c r="N2214" s="6">
        <f>HYPERLINK("http://www.eum.go.kr/web/ar/lu/luLandDet.jsp?pnu=3611035025100860000&amp;isNoScr=script&amp;mode=search", "토지이음")</f>
        <v/>
      </c>
      <c r="O2214" s="3" t="inlineStr">
        <is>
          <t>엔터수진</t>
        </is>
      </c>
      <c r="P2214" s="4" t="n">
        <v>1</v>
      </c>
      <c r="Q2214" s="4" t="n">
        <v>912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맹지</t>
        </is>
      </c>
    </row>
    <row r="2215">
      <c r="A2215" s="3" t="inlineStr">
        <is>
          <t>장군면 금암리 89-1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50000</v>
      </c>
      <c r="G2215" s="4" t="n">
        <v>1000</v>
      </c>
      <c r="H2215" s="4" t="n">
        <v>302</v>
      </c>
      <c r="I2215" s="5" t="n">
        <v>165.6</v>
      </c>
      <c r="J2215" s="5" t="n">
        <v>71</v>
      </c>
      <c r="K2215" s="3" t="inlineStr">
        <is>
          <t>세종시 이마트에서 차로 10분거리인 토지임.</t>
        </is>
      </c>
      <c r="L2215" s="6">
        <f>HYPERLINK("https://fin.land.naver.com/articles/2653572183", "매물Link")</f>
        <v/>
      </c>
      <c r="M2215" s="6">
        <f>HYPERLINK("https://map.naver.com/p/search/장군면 금암리 89-1", "지도Link")</f>
        <v/>
      </c>
      <c r="N2215" s="6">
        <f>HYPERLINK("http://www.eum.go.kr/web/ar/lu/luLandDet.jsp?pnu=3611035025100890001&amp;isNoScr=script&amp;mode=search", "토지이음")</f>
        <v/>
      </c>
      <c r="O2215" s="3" t="inlineStr">
        <is>
          <t>에이원</t>
        </is>
      </c>
      <c r="P2215" s="4" t="n">
        <v>1</v>
      </c>
      <c r="Q2215" s="4" t="n">
        <v>1000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대교리 113-51</t>
        </is>
      </c>
      <c r="B2216" s="3" t="inlineStr">
        <is>
          <t>계획관리지역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48000</v>
      </c>
      <c r="G2216" s="4" t="n">
        <v>401</v>
      </c>
      <c r="H2216" s="4" t="n">
        <v>121</v>
      </c>
      <c r="I2216" s="5" t="n">
        <v>396.7</v>
      </c>
      <c r="J2216" s="5" t="n">
        <v>233.8</v>
      </c>
      <c r="K2216" s="3" t="inlineStr">
        <is>
          <t>장군면 대교리 개발된 계획관리 토지, 장군면소재지, 신도시 인근, 건축용</t>
        </is>
      </c>
      <c r="L2216" s="6">
        <f>HYPERLINK("https://fin.land.naver.com/articles/2654029944", "매물Link")</f>
        <v/>
      </c>
      <c r="M2216" s="6">
        <f>HYPERLINK("https://map.naver.com/p/search/장군면 대교리 113-51", "지도Link")</f>
        <v/>
      </c>
      <c r="N2216" s="6">
        <f>HYPERLINK("http://www.eum.go.kr/web/ar/lu/luLandDet.jsp?pnu=3611035023101130051&amp;isNoScr=script&amp;mode=search", "토지이음")</f>
        <v/>
      </c>
      <c r="O2216" s="3" t="inlineStr">
        <is>
          <t>스카이</t>
        </is>
      </c>
      <c r="P2216" s="4" t="n">
        <v>1</v>
      </c>
      <c r="Q2216" s="4" t="n">
        <v>282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세로각지(가)</t>
        </is>
      </c>
    </row>
    <row r="2217">
      <c r="A2217" s="3" t="inlineStr">
        <is>
          <t>장군면 대교리 113-57</t>
        </is>
      </c>
      <c r="B2217" s="3" t="inlineStr">
        <is>
          <t>계획관리지역</t>
        </is>
      </c>
      <c r="C2217" s="3" t="inlineStr">
        <is>
          <t>전</t>
        </is>
      </c>
      <c r="D2217" s="3" t="inlineStr">
        <is>
          <t>임야</t>
        </is>
      </c>
      <c r="E2217" s="3" t="inlineStr">
        <is>
          <t>매매</t>
        </is>
      </c>
      <c r="F2217" s="4" t="n">
        <v>46000</v>
      </c>
      <c r="G2217" s="4" t="n">
        <v>380</v>
      </c>
      <c r="H2217" s="4" t="n">
        <v>115</v>
      </c>
      <c r="I2217" s="5" t="n">
        <v>400</v>
      </c>
      <c r="J2217" s="5" t="n">
        <v>249.9</v>
      </c>
      <c r="K2217" s="3" t="inlineStr">
        <is>
          <t>장군면 대교리 개발된 계획관리 토지, 장군면소재지, 신도시 인근, 건축용</t>
        </is>
      </c>
      <c r="L2217" s="6">
        <f>HYPERLINK("https://fin.land.naver.com/articles/2654029890", "매물Link")</f>
        <v/>
      </c>
      <c r="M2217" s="6">
        <f>HYPERLINK("https://map.naver.com/p/search/장군면 대교리 113-57", "지도Link")</f>
        <v/>
      </c>
      <c r="N2217" s="6">
        <f>HYPERLINK("http://www.eum.go.kr/web/ar/lu/luLandDet.jsp?pnu=3611035023101130057&amp;isNoScr=script&amp;mode=search", "토지이음")</f>
        <v/>
      </c>
      <c r="O2217" s="3" t="inlineStr">
        <is>
          <t>스카이</t>
        </is>
      </c>
      <c r="P2217" s="4" t="n">
        <v>1</v>
      </c>
      <c r="Q2217" s="4" t="n">
        <v>294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125-30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34000</v>
      </c>
      <c r="G2218" s="4" t="n">
        <v>330</v>
      </c>
      <c r="H2218" s="4" t="n">
        <v>100</v>
      </c>
      <c r="I2218" s="5" t="n">
        <v>340</v>
      </c>
      <c r="J2218" s="5" t="n">
        <v>144.5</v>
      </c>
      <c r="K2218" s="3" t="inlineStr">
        <is>
          <t>모양 반듯한 대지. 위치 좋고 생활권 접근성 위치 굿.</t>
        </is>
      </c>
      <c r="L2218" s="6">
        <f>HYPERLINK("https://fin.land.naver.com/articles/2655811072", "매물Link")</f>
        <v/>
      </c>
      <c r="M2218" s="6">
        <f>HYPERLINK("https://map.naver.com/p/search/장군면 대교리 125-30", "지도Link")</f>
        <v/>
      </c>
      <c r="N2218" s="6">
        <f>HYPERLINK("http://www.eum.go.kr/web/ar/lu/luLandDet.jsp?pnu=3611035023101250030&amp;isNoScr=script&amp;mode=search", "토지이음")</f>
        <v/>
      </c>
      <c r="O2218" s="3" t="inlineStr">
        <is>
          <t>세종올리브</t>
        </is>
      </c>
      <c r="P2218" s="4" t="n">
        <v>1</v>
      </c>
      <c r="Q2218" s="4" t="n">
        <v>330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125-54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50000</v>
      </c>
      <c r="G2219" s="4" t="n">
        <v>447</v>
      </c>
      <c r="H2219" s="4" t="n">
        <v>135</v>
      </c>
      <c r="I2219" s="5" t="n">
        <v>370.4</v>
      </c>
      <c r="J2219" s="5" t="n">
        <v>144.5</v>
      </c>
      <c r="K2219" s="3" t="inlineStr">
        <is>
          <t>장군면 전원주택지 ,위치좋고 뷰가 최상,가락마을 9단지 근처.가격조율가.</t>
        </is>
      </c>
      <c r="L2219" s="6">
        <f>HYPERLINK("https://fin.land.naver.com/articles/2650960709", "매물Link")</f>
        <v/>
      </c>
      <c r="M2219" s="6">
        <f>HYPERLINK("https://map.naver.com/p/search/장군면 대교리 125-54", "지도Link")</f>
        <v/>
      </c>
      <c r="N2219" s="6">
        <f>HYPERLINK("http://www.eum.go.kr/web/ar/lu/luLandDet.jsp?pnu=3611035023101250054&amp;isNoScr=script&amp;mode=search", "토지이음")</f>
        <v/>
      </c>
      <c r="O2219" s="3" t="inlineStr">
        <is>
          <t>우미</t>
        </is>
      </c>
      <c r="P2219" s="4" t="n">
        <v>1</v>
      </c>
      <c r="Q2219" s="4" t="n">
        <v>447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125-57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46000</v>
      </c>
      <c r="G2220" s="4" t="n">
        <v>330</v>
      </c>
      <c r="H2220" s="4" t="n">
        <v>100</v>
      </c>
      <c r="I2220" s="5" t="n">
        <v>460</v>
      </c>
      <c r="J2220" s="5" t="n">
        <v>144.5</v>
      </c>
      <c r="K2220" s="3" t="inlineStr">
        <is>
          <t>nan</t>
        </is>
      </c>
      <c r="L2220" s="6">
        <f>HYPERLINK("https://fin.land.naver.com/articles/2653143525", "매물Link")</f>
        <v/>
      </c>
      <c r="M2220" s="6">
        <f>HYPERLINK("https://map.naver.com/p/search/장군면 대교리 125-57", "지도Link")</f>
        <v/>
      </c>
      <c r="N2220" s="6">
        <f>HYPERLINK("http://www.eum.go.kr/web/ar/lu/luLandDet.jsp?pnu=3611035023101250057&amp;isNoScr=script&amp;mode=search", "토지이음")</f>
        <v/>
      </c>
      <c r="O2220" s="3" t="inlineStr">
        <is>
          <t>세종다정랜드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126-12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75000</v>
      </c>
      <c r="G2221" s="4" t="n">
        <v>646</v>
      </c>
      <c r="H2221" s="4" t="n">
        <v>195</v>
      </c>
      <c r="I2221" s="5" t="n">
        <v>384.6</v>
      </c>
      <c r="J2221" s="5" t="n">
        <v>175.3</v>
      </c>
      <c r="K2221" s="3" t="inlineStr">
        <is>
          <t>조망좋은 행복도시인접 전원주택부지</t>
        </is>
      </c>
      <c r="L2221" s="6">
        <f>HYPERLINK("https://fin.land.naver.com/articles/2655159099", "매물Link")</f>
        <v/>
      </c>
      <c r="M2221" s="6">
        <f>HYPERLINK("https://map.naver.com/p/search/장군면 대교리 126-12", "지도Link")</f>
        <v/>
      </c>
      <c r="N2221" s="6">
        <f>HYPERLINK("http://www.eum.go.kr/web/ar/lu/luLandDet.jsp?pnu=3611035023101260012&amp;isNoScr=script&amp;mode=search", "토지이음")</f>
        <v/>
      </c>
      <c r="O2221" s="3" t="inlineStr">
        <is>
          <t>인서</t>
        </is>
      </c>
      <c r="P2221" s="4" t="n">
        <v>1</v>
      </c>
      <c r="Q2221" s="4" t="n">
        <v>450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126-40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82000</v>
      </c>
      <c r="G2222" s="4" t="n">
        <v>645</v>
      </c>
      <c r="H2222" s="4" t="n">
        <v>195</v>
      </c>
      <c r="I2222" s="5" t="n">
        <v>420.5</v>
      </c>
      <c r="J2222" s="5" t="n">
        <v>175.3</v>
      </c>
      <c r="K2222" s="3" t="inlineStr">
        <is>
          <t>잘 조성된 전원주택부지 편의시설 바로 옆 행복도시생활권</t>
        </is>
      </c>
      <c r="L2222" s="6">
        <f>HYPERLINK("https://fin.land.naver.com/articles/2654670333", "매물Link")</f>
        <v/>
      </c>
      <c r="M2222" s="6">
        <f>HYPERLINK("https://map.naver.com/p/search/장군면 대교리 126-40", "지도Link")</f>
        <v/>
      </c>
      <c r="N2222" s="6">
        <f>HYPERLINK("http://www.eum.go.kr/web/ar/lu/luLandDet.jsp?pnu=3611035023101260040&amp;isNoScr=script&amp;mode=search", "토지이음")</f>
        <v/>
      </c>
      <c r="O2222" s="3" t="inlineStr">
        <is>
          <t>하임</t>
        </is>
      </c>
      <c r="P2222" s="4" t="n">
        <v>1</v>
      </c>
      <c r="Q2222" s="4" t="n">
        <v>450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132</t>
        </is>
      </c>
      <c r="B2223" s="3" t="inlineStr">
        <is>
          <t>계획관리지역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1050000</v>
      </c>
      <c r="G2223" s="4" t="n">
        <v>5513</v>
      </c>
      <c r="H2223" s="4" t="n">
        <v>1668</v>
      </c>
      <c r="I2223" s="5" t="n">
        <v>629.5</v>
      </c>
      <c r="J2223" s="5" t="n">
        <v>186.7</v>
      </c>
      <c r="K2223" s="3" t="inlineStr">
        <is>
          <t>고운동 대단위아파트단지 3분거리 계획관리지역 땅</t>
        </is>
      </c>
      <c r="L2223" s="6">
        <f>HYPERLINK("https://fin.land.naver.com/articles/2653539235", "매물Link")</f>
        <v/>
      </c>
      <c r="M2223" s="6">
        <f>HYPERLINK("https://map.naver.com/p/search/장군면 대교리 132", "지도Link")</f>
        <v/>
      </c>
      <c r="N2223" s="6">
        <f>HYPERLINK("http://www.eum.go.kr/web/ar/lu/luLandDet.jsp?pnu=3611035023101320000&amp;isNoScr=script&amp;mode=search", "토지이음")</f>
        <v/>
      </c>
      <c r="O2223" s="3" t="inlineStr">
        <is>
          <t>세종천지</t>
        </is>
      </c>
      <c r="P2223" s="4" t="n">
        <v>2</v>
      </c>
      <c r="Q2223" s="4" t="n">
        <v>5513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소로한면</t>
        </is>
      </c>
    </row>
    <row r="2224">
      <c r="A2224" s="3" t="inlineStr">
        <is>
          <t>장군면 대교리 147-39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72500</v>
      </c>
      <c r="G2224" s="4" t="n">
        <v>826</v>
      </c>
      <c r="H2224" s="4" t="n">
        <v>250</v>
      </c>
      <c r="I2224" s="5" t="n">
        <v>290</v>
      </c>
      <c r="J2224" s="5" t="n">
        <v>177.5</v>
      </c>
      <c r="K2224" s="3" t="inlineStr">
        <is>
          <t>고운동 접근성 좋은 대지</t>
        </is>
      </c>
      <c r="L2224" s="6">
        <f>HYPERLINK("https://fin.land.naver.com/articles/2652747167", "매물Link")</f>
        <v/>
      </c>
      <c r="M2224" s="6">
        <f>HYPERLINK("https://map.naver.com/p/search/장군면 대교리 147-39", "지도Link")</f>
        <v/>
      </c>
      <c r="N2224" s="6">
        <f>HYPERLINK("http://www.eum.go.kr/web/ar/lu/luLandDet.jsp?pnu=3611035023101470039&amp;isNoScr=script&amp;mode=search", "토지이음")</f>
        <v/>
      </c>
      <c r="O2224" s="3" t="inlineStr">
        <is>
          <t>세종로또</t>
        </is>
      </c>
      <c r="P2224" s="4" t="n">
        <v>1</v>
      </c>
      <c r="Q2224" s="4" t="n">
        <v>659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147-53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51000</v>
      </c>
      <c r="G2225" s="4" t="n">
        <v>667</v>
      </c>
      <c r="H2225" s="4" t="n">
        <v>202</v>
      </c>
      <c r="I2225" s="5" t="n">
        <v>252.5</v>
      </c>
      <c r="J2225" s="5" t="n">
        <v>177.5</v>
      </c>
      <c r="K2225" s="3" t="inlineStr">
        <is>
          <t>고운풍경채마을 위치 좋은 전원 주택지 입니다</t>
        </is>
      </c>
      <c r="L2225" s="6">
        <f>HYPERLINK("https://fin.land.naver.com/articles/2656182080", "매물Link")</f>
        <v/>
      </c>
      <c r="M2225" s="6">
        <f>HYPERLINK("https://map.naver.com/p/search/장군면 대교리 147-53", "지도Link")</f>
        <v/>
      </c>
      <c r="N2225" s="6">
        <f>HYPERLINK("http://www.eum.go.kr/web/ar/lu/luLandDet.jsp?pnu=3611035023101470053&amp;isNoScr=script&amp;mode=search", "토지이음")</f>
        <v/>
      </c>
      <c r="O2225" s="3" t="inlineStr">
        <is>
          <t>세종공주원탑</t>
        </is>
      </c>
      <c r="P2225" s="4" t="n">
        <v>1</v>
      </c>
      <c r="Q2225" s="4" t="n">
        <v>667</v>
      </c>
      <c r="R2225" s="3" t="inlineStr">
        <is>
          <t>지정되지않음</t>
        </is>
      </c>
      <c r="S2225" s="3" t="inlineStr">
        <is>
          <t>주거나지</t>
        </is>
      </c>
      <c r="T2225" s="3" t="inlineStr">
        <is>
          <t>완경사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대교리 169-21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25000</v>
      </c>
      <c r="G2226" s="4" t="n">
        <v>167</v>
      </c>
      <c r="H2226" s="4" t="n">
        <v>51</v>
      </c>
      <c r="I2226" s="5" t="n">
        <v>490.2</v>
      </c>
      <c r="J2226" s="5" t="n">
        <v>252.6</v>
      </c>
      <c r="K2226" s="3" t="inlineStr">
        <is>
          <t>행복도시 최인접대지로 인기좋은땅</t>
        </is>
      </c>
      <c r="L2226" s="6">
        <f>HYPERLINK("https://fin.land.naver.com/articles/2652288273", "매물Link")</f>
        <v/>
      </c>
      <c r="M2226" s="6">
        <f>HYPERLINK("https://map.naver.com/p/search/장군면 대교리 169-21", "지도Link")</f>
        <v/>
      </c>
      <c r="N2226" s="6">
        <f>HYPERLINK("http://www.eum.go.kr/web/ar/lu/luLandDet.jsp?pnu=3611035023101690021&amp;isNoScr=script&amp;mode=search", "토지이음")</f>
        <v/>
      </c>
      <c r="O2226" s="3" t="inlineStr">
        <is>
          <t>모닝스타</t>
        </is>
      </c>
      <c r="P2226" s="4" t="n">
        <v>1</v>
      </c>
      <c r="Q2226" s="4" t="n">
        <v>167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172-24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45000</v>
      </c>
      <c r="G2227" s="4" t="n">
        <v>644</v>
      </c>
      <c r="H2227" s="4" t="n">
        <v>195</v>
      </c>
      <c r="I2227" s="5" t="n">
        <v>230.8</v>
      </c>
      <c r="J2227" s="5" t="n">
        <v>174.1</v>
      </c>
      <c r="K2227" s="3" t="inlineStr">
        <is>
          <t>대교리전원주택지,서세종IC,세종시5분내진입가능,총4필지</t>
        </is>
      </c>
      <c r="L2227" s="6">
        <f>HYPERLINK("https://fin.land.naver.com/articles/2655512661", "매물Link")</f>
        <v/>
      </c>
      <c r="M2227" s="6">
        <f>HYPERLINK("https://map.naver.com/p/search/장군면 대교리 172-24", "지도Link")</f>
        <v/>
      </c>
      <c r="N2227" s="6">
        <f>HYPERLINK("http://www.eum.go.kr/web/ar/lu/luLandDet.jsp?pnu=3611035023101720024&amp;isNoScr=script&amp;mode=search", "토지이음")</f>
        <v/>
      </c>
      <c r="O2227" s="3" t="inlineStr">
        <is>
          <t>부자마을</t>
        </is>
      </c>
      <c r="P2227" s="4" t="n">
        <v>1</v>
      </c>
      <c r="Q2227" s="4" t="n">
        <v>576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172-28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37400</v>
      </c>
      <c r="G2228" s="4" t="n">
        <v>618</v>
      </c>
      <c r="H2228" s="4" t="n">
        <v>187</v>
      </c>
      <c r="I2228" s="5" t="n">
        <v>200</v>
      </c>
      <c r="J2228" s="5" t="n">
        <v>154.6</v>
      </c>
      <c r="K2228" s="3" t="inlineStr">
        <is>
          <t>도심인근전원주택지,서세종ic5분,정부청사15분,도로접</t>
        </is>
      </c>
      <c r="L2228" s="6">
        <f>HYPERLINK("https://fin.land.naver.com/articles/2656225042", "매물Link")</f>
        <v/>
      </c>
      <c r="M2228" s="6">
        <f>HYPERLINK("https://map.naver.com/p/search/장군면 대교리 172-28", "지도Link")</f>
        <v/>
      </c>
      <c r="N2228" s="6">
        <f>HYPERLINK("http://www.eum.go.kr/web/ar/lu/luLandDet.jsp?pnu=3611035023101720028&amp;isNoScr=script&amp;mode=search", "토지이음")</f>
        <v/>
      </c>
      <c r="O2228" s="3" t="inlineStr">
        <is>
          <t>힐스테이트행복</t>
        </is>
      </c>
      <c r="P2228" s="4" t="n">
        <v>1</v>
      </c>
      <c r="Q2228" s="4" t="n">
        <v>302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세로한면(불)</t>
        </is>
      </c>
    </row>
    <row r="2229">
      <c r="A2229" s="3" t="inlineStr">
        <is>
          <t>장군면 대교리 227-16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100000</v>
      </c>
      <c r="G2229" s="4" t="n">
        <v>1361</v>
      </c>
      <c r="H2229" s="4" t="n">
        <v>412</v>
      </c>
      <c r="I2229" s="5" t="n">
        <v>242.7</v>
      </c>
      <c r="J2229" s="5" t="n">
        <v>151.2</v>
      </c>
      <c r="K2229" s="3" t="inlineStr">
        <is>
          <t>신도시 1km 거리 명품택지 이니지오, 넓은평수에 상단 위치 최상 전망</t>
        </is>
      </c>
      <c r="L2229" s="6">
        <f>HYPERLINK("https://fin.land.naver.com/articles/2651035112", "매물Link")</f>
        <v/>
      </c>
      <c r="M2229" s="6">
        <f>HYPERLINK("https://map.naver.com/p/search/장군면 대교리 227-16", "지도Link")</f>
        <v/>
      </c>
      <c r="N2229" s="6">
        <f>HYPERLINK("http://www.eum.go.kr/web/ar/lu/luLandDet.jsp?pnu=3611035023102270016&amp;isNoScr=script&amp;mode=search", "토지이음")</f>
        <v/>
      </c>
      <c r="O2229" s="3" t="inlineStr">
        <is>
          <t>온뜰</t>
        </is>
      </c>
      <c r="P2229" s="4" t="n">
        <v>1</v>
      </c>
      <c r="Q2229" s="4" t="n">
        <v>892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227-16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100000</v>
      </c>
      <c r="G2230" s="4" t="n">
        <v>892</v>
      </c>
      <c r="H2230" s="4" t="n">
        <v>270</v>
      </c>
      <c r="I2230" s="5" t="n">
        <v>370.4</v>
      </c>
      <c r="J2230" s="5" t="n">
        <v>151.2</v>
      </c>
      <c r="K2230" s="3" t="inlineStr">
        <is>
          <t>가격네고가능,2차선도로접,세종시근접,건축허가 난토지.단독주택지로 추천</t>
        </is>
      </c>
      <c r="L2230" s="6">
        <f>HYPERLINK("https://fin.land.naver.com/articles/2653280505", "매물Link")</f>
        <v/>
      </c>
      <c r="M2230" s="6">
        <f>HYPERLINK("https://map.naver.com/p/search/장군면 대교리 227-16", "지도Link")</f>
        <v/>
      </c>
      <c r="N2230" s="6">
        <f>HYPERLINK("http://www.eum.go.kr/web/ar/lu/luLandDet.jsp?pnu=3611035023102270016&amp;isNoScr=script&amp;mode=search",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892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227-7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151200</v>
      </c>
      <c r="G2231" s="4" t="n">
        <v>823</v>
      </c>
      <c r="H2231" s="4" t="n">
        <v>249</v>
      </c>
      <c r="I2231" s="5" t="n">
        <v>607.2</v>
      </c>
      <c r="J2231" s="5" t="n">
        <v>151.2</v>
      </c>
      <c r="K2231" s="3" t="inlineStr">
        <is>
          <t>세종 장군면 대교리 실속형 대지 매매</t>
        </is>
      </c>
      <c r="L2231" s="6">
        <f>HYPERLINK("https://fin.land.naver.com/articles/2653143482", "매물Link")</f>
        <v/>
      </c>
      <c r="M2231" s="6">
        <f>HYPERLINK("https://map.naver.com/p/search/장군면 대교리 227-7", "지도Link")</f>
        <v/>
      </c>
      <c r="N2231" s="6">
        <f>HYPERLINK("http://www.eum.go.kr/web/ar/lu/luLandDet.jsp?pnu=3611035023102270007&amp;isNoScr=script&amp;mode=search", "토지이음")</f>
        <v/>
      </c>
      <c r="O2231" s="3" t="inlineStr">
        <is>
          <t>세종몽땅</t>
        </is>
      </c>
      <c r="P2231" s="4" t="n">
        <v>1</v>
      </c>
      <c r="Q2231" s="4" t="n">
        <v>823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228-17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70000</v>
      </c>
      <c r="G2232" s="4" t="n">
        <v>807</v>
      </c>
      <c r="H2232" s="4" t="n">
        <v>244</v>
      </c>
      <c r="I2232" s="5" t="n">
        <v>286.9</v>
      </c>
      <c r="J2232" s="5" t="n">
        <v>151.2</v>
      </c>
      <c r="K2232" s="3" t="inlineStr">
        <is>
          <t>2차선 도로접한 대지  매매,세종시 고운동 근접</t>
        </is>
      </c>
      <c r="L2232" s="6">
        <f>HYPERLINK("https://fin.land.naver.com/articles/2654855546", "매물Link")</f>
        <v/>
      </c>
      <c r="M2232" s="6">
        <f>HYPERLINK("https://map.naver.com/p/search/장군면 대교리 228-17", "지도Link")</f>
        <v/>
      </c>
      <c r="N2232" s="6">
        <f>HYPERLINK("http://www.eum.go.kr/web/ar/lu/luLandDet.jsp?pnu=3611035023102280017&amp;isNoScr=script&amp;mode=search",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807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228-20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106700</v>
      </c>
      <c r="G2233" s="4" t="n">
        <v>801</v>
      </c>
      <c r="H2233" s="4" t="n">
        <v>242</v>
      </c>
      <c r="I2233" s="5" t="n">
        <v>440.9</v>
      </c>
      <c r="J2233" s="5" t="n">
        <v>151.2</v>
      </c>
      <c r="K2233" s="3" t="inlineStr">
        <is>
          <t>이니지오 단독주택지 전원주택 단독주택 찾는분</t>
        </is>
      </c>
      <c r="L2233" s="6">
        <f>HYPERLINK("https://fin.land.naver.com/articles/2655683046", "매물Link")</f>
        <v/>
      </c>
      <c r="M2233" s="6">
        <f>HYPERLINK("https://map.naver.com/p/search/장군면 대교리 228-20", "지도Link")</f>
        <v/>
      </c>
      <c r="N2233" s="6">
        <f>HYPERLINK("http://www.eum.go.kr/web/ar/lu/luLandDet.jsp?pnu=3611035023102280020&amp;isNoScr=script&amp;mode=search",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801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228-24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60000</v>
      </c>
      <c r="G2234" s="4" t="n">
        <v>853</v>
      </c>
      <c r="H2234" s="4" t="n">
        <v>258</v>
      </c>
      <c r="I2234" s="5" t="n">
        <v>232.6</v>
      </c>
      <c r="J2234" s="5" t="n">
        <v>151.2</v>
      </c>
      <c r="K2234" s="3" t="inlineStr">
        <is>
          <t>전원주택지 이니지오 입구에 위치한 모양 좋은 땅  전용 면적 기준</t>
        </is>
      </c>
      <c r="L2234" s="6">
        <f>HYPERLINK("https://fin.land.naver.com/articles/2656182256", "매물Link")</f>
        <v/>
      </c>
      <c r="M2234" s="6">
        <f>HYPERLINK("https://map.naver.com/p/search/장군면 대교리 228-24", "지도Link")</f>
        <v/>
      </c>
      <c r="N2234" s="6">
        <f>HYPERLINK("http://www.eum.go.kr/web/ar/lu/luLandDet.jsp?pnu=3611035023102280024&amp;isNoScr=script&amp;mode=search", "토지이음")</f>
        <v/>
      </c>
      <c r="O2234" s="3" t="inlineStr">
        <is>
          <t>세종공주원탑</t>
        </is>
      </c>
      <c r="P2234" s="4" t="n">
        <v>1</v>
      </c>
      <c r="Q2234" s="4" t="n">
        <v>853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228-32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75000</v>
      </c>
      <c r="G2235" s="4" t="n">
        <v>1328</v>
      </c>
      <c r="H2235" s="4" t="n">
        <v>402</v>
      </c>
      <c r="I2235" s="5" t="n">
        <v>186.6</v>
      </c>
      <c r="J2235" s="5" t="n">
        <v>151.2</v>
      </c>
      <c r="K2235" s="3" t="inlineStr">
        <is>
          <t>초급매,지대가 높은 공원연접 조망권뷰최상,넓은평수,명품이니지오 택지</t>
        </is>
      </c>
      <c r="L2235" s="6">
        <f>HYPERLINK("https://fin.land.naver.com/articles/2653853857", "매물Link")</f>
        <v/>
      </c>
      <c r="M2235" s="6">
        <f>HYPERLINK("https://map.naver.com/p/search/장군면 대교리 228-32", "지도Link")</f>
        <v/>
      </c>
      <c r="N2235" s="6">
        <f>HYPERLINK("http://www.eum.go.kr/web/ar/lu/luLandDet.jsp?pnu=3611035023102280032&amp;isNoScr=script&amp;mode=search",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875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228-32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75000</v>
      </c>
      <c r="G2236" s="4" t="n">
        <v>876</v>
      </c>
      <c r="H2236" s="4" t="n">
        <v>265</v>
      </c>
      <c r="I2236" s="5" t="n">
        <v>283</v>
      </c>
      <c r="J2236" s="5" t="n">
        <v>151.2</v>
      </c>
      <c r="K2236" s="3" t="inlineStr">
        <is>
          <t>nan</t>
        </is>
      </c>
      <c r="L2236" s="6">
        <f>HYPERLINK("https://fin.land.naver.com/articles/2654942200", "매물Link")</f>
        <v/>
      </c>
      <c r="M2236" s="6">
        <f>HYPERLINK("https://map.naver.com/p/search/장군면 대교리 228-32", "지도Link")</f>
        <v/>
      </c>
      <c r="N2236" s="6">
        <f>HYPERLINK("http://www.eum.go.kr/web/ar/lu/luLandDet.jsp?pnu=3611035023102280032&amp;isNoScr=script&amp;mode=search", "토지이음")</f>
        <v/>
      </c>
      <c r="O2236" s="3" t="inlineStr">
        <is>
          <t>세종신한</t>
        </is>
      </c>
      <c r="P2236" s="4" t="n">
        <v>1</v>
      </c>
      <c r="Q2236" s="4" t="n">
        <v>875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228-83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110000</v>
      </c>
      <c r="G2237" s="4" t="n">
        <v>823</v>
      </c>
      <c r="H2237" s="4" t="n">
        <v>249</v>
      </c>
      <c r="I2237" s="5" t="n">
        <v>441.8</v>
      </c>
      <c r="J2237" s="5" t="n">
        <v>151.2</v>
      </c>
      <c r="K2237" s="3" t="inlineStr">
        <is>
          <t>이니지오 단독주택지</t>
        </is>
      </c>
      <c r="L2237" s="6">
        <f>HYPERLINK("https://fin.land.naver.com/articles/2655208593", "매물Link")</f>
        <v/>
      </c>
      <c r="M2237" s="6">
        <f>HYPERLINK("https://map.naver.com/p/search/장군면 대교리 228-83", "지도Link")</f>
        <v/>
      </c>
      <c r="N2237" s="6">
        <f>HYPERLINK("http://www.eum.go.kr/web/ar/lu/luLandDet.jsp?pnu=3611035023102280083&amp;isNoScr=script&amp;mode=search", "토지이음")</f>
        <v/>
      </c>
      <c r="O2237" s="3" t="inlineStr">
        <is>
          <t>세종몽땅</t>
        </is>
      </c>
      <c r="P2237" s="4" t="n">
        <v>1</v>
      </c>
      <c r="Q2237" s="4" t="n">
        <v>823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234</t>
        </is>
      </c>
      <c r="B2238" s="3" t="inlineStr">
        <is>
          <t>보전관리지역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110000</v>
      </c>
      <c r="G2238" s="4" t="n">
        <v>2281</v>
      </c>
      <c r="H2238" s="4" t="n">
        <v>690</v>
      </c>
      <c r="I2238" s="5" t="n">
        <v>159.4</v>
      </c>
      <c r="J2238" s="5" t="n">
        <v>20.6</v>
      </c>
      <c r="K2238" s="3" t="inlineStr">
        <is>
          <t>정부세종청사에서 15분 거리에 있고, 풍광이 뛰어난 토지입니다.</t>
        </is>
      </c>
      <c r="L2238" s="6">
        <f>HYPERLINK("https://fin.land.naver.com/articles/2655842988", "매물Link")</f>
        <v/>
      </c>
      <c r="M2238" s="6">
        <f>HYPERLINK("https://map.naver.com/p/search/장군면 대교리 234", "지도Link")</f>
        <v/>
      </c>
      <c r="N2238" s="6">
        <f>HYPERLINK("http://www.eum.go.kr/web/ar/lu/luLandDet.jsp?pnu=3611035023102340000&amp;isNoScr=script&amp;mode=search", "토지이음")</f>
        <v/>
      </c>
      <c r="O2238" s="3" t="inlineStr">
        <is>
          <t>다모아</t>
        </is>
      </c>
      <c r="P2238" s="4" t="n">
        <v>1</v>
      </c>
      <c r="Q2238" s="4" t="n">
        <v>2281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급경사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대교리 253-1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205000</v>
      </c>
      <c r="G2239" s="4" t="n">
        <v>16958</v>
      </c>
      <c r="H2239" s="4" t="n">
        <v>5130</v>
      </c>
      <c r="I2239" s="5" t="n">
        <v>40</v>
      </c>
      <c r="J2239" s="5" t="n">
        <v>10.1</v>
      </c>
      <c r="K2239" s="3" t="inlineStr">
        <is>
          <t>임야 , 면적 5,130P, 단독주택, 노유자시설 가능,적극협의가능</t>
        </is>
      </c>
      <c r="L2239" s="6">
        <f>HYPERLINK("https://fin.land.naver.com/articles/2656180518", "매물Link")</f>
        <v/>
      </c>
      <c r="M2239" s="6">
        <f>HYPERLINK("https://map.naver.com/p/search/장군면 대교리 253-1", "지도Link")</f>
        <v/>
      </c>
      <c r="N2239" s="6">
        <f>HYPERLINK("http://www.eum.go.kr/web/ar/lu/luLandDet.jsp?pnu=3611035023102530001&amp;isNoScr=script&amp;mode=search", "토지이음")</f>
        <v/>
      </c>
      <c r="O2239" s="3" t="inlineStr">
        <is>
          <t>승리</t>
        </is>
      </c>
      <c r="P2239" s="4" t="n">
        <v>1</v>
      </c>
      <c r="Q2239" s="4" t="n">
        <v>16958</v>
      </c>
      <c r="R2239" s="3" t="inlineStr">
        <is>
          <t>지정되지않음</t>
        </is>
      </c>
      <c r="S2239" s="3" t="inlineStr">
        <is>
          <t>자연림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세로한면(불)</t>
        </is>
      </c>
    </row>
    <row r="2240">
      <c r="A2240" s="3" t="inlineStr">
        <is>
          <t>장군면 대교리 253-3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35000</v>
      </c>
      <c r="G2240" s="4" t="n">
        <v>5124</v>
      </c>
      <c r="H2240" s="4" t="n">
        <v>1550</v>
      </c>
      <c r="I2240" s="5" t="n">
        <v>22.6</v>
      </c>
      <c r="J2240" s="5" t="n">
        <v>9.6</v>
      </c>
      <c r="K2240" s="3" t="inlineStr">
        <is>
          <t>세종시 임야를 찾으시면 추천해요</t>
        </is>
      </c>
      <c r="L2240" s="6">
        <f>HYPERLINK("https://fin.land.naver.com/articles/2651561327", "매물Link")</f>
        <v/>
      </c>
      <c r="M2240" s="6">
        <f>HYPERLINK("https://map.naver.com/p/search/장군면 대교리 253-3", "지도Link")</f>
        <v/>
      </c>
      <c r="N2240" s="6">
        <f>HYPERLINK("http://www.eum.go.kr/web/ar/lu/luLandDet.jsp?pnu=3611035023102530003&amp;isNoScr=script&amp;mode=search", "토지이음")</f>
        <v/>
      </c>
      <c r="O2240" s="3" t="inlineStr">
        <is>
          <t>숭어리탑</t>
        </is>
      </c>
      <c r="P2240" s="4" t="n">
        <v>1</v>
      </c>
      <c r="Q2240" s="4" t="n">
        <v>5124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맹지</t>
        </is>
      </c>
    </row>
    <row r="2241">
      <c r="A2241" s="3" t="inlineStr">
        <is>
          <t>장군면 대교리 323-10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35300</v>
      </c>
      <c r="G2241" s="4" t="n">
        <v>595</v>
      </c>
      <c r="H2241" s="4" t="n">
        <v>180</v>
      </c>
      <c r="I2241" s="5" t="n">
        <v>196.1</v>
      </c>
      <c r="J2241" s="5" t="n">
        <v>101.2</v>
      </c>
      <c r="K2241" s="3" t="inlineStr">
        <is>
          <t>전원주택 단지 조성된 곳</t>
        </is>
      </c>
      <c r="L2241" s="6">
        <f>HYPERLINK("https://fin.land.naver.com/articles/2656082772", "매물Link")</f>
        <v/>
      </c>
      <c r="M2241" s="6">
        <f>HYPERLINK("https://map.naver.com/p/search/장군면 대교리 323-10", "지도Link")</f>
        <v/>
      </c>
      <c r="N2241" s="6">
        <f>HYPERLINK("http://www.eum.go.kr/web/ar/lu/luLandDet.jsp?pnu=3611035023103230010&amp;isNoScr=script&amp;mode=search", "토지이음")</f>
        <v/>
      </c>
      <c r="O2241" s="3" t="inlineStr">
        <is>
          <t>나릿재OK</t>
        </is>
      </c>
      <c r="P2241" s="4" t="n">
        <v>1</v>
      </c>
      <c r="Q2241" s="4" t="n">
        <v>595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335-71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40000</v>
      </c>
      <c r="G2242" s="4" t="n">
        <v>567</v>
      </c>
      <c r="H2242" s="4" t="n">
        <v>172</v>
      </c>
      <c r="I2242" s="5" t="n">
        <v>232.6</v>
      </c>
      <c r="J2242" s="5" t="n">
        <v>113.2</v>
      </c>
      <c r="K2242" s="3" t="inlineStr">
        <is>
          <t>급매,지대가 높아 막힘없는 조망권뷰 최상, 김종서장군묘소 인접</t>
        </is>
      </c>
      <c r="L2242" s="6">
        <f>HYPERLINK("https://fin.land.naver.com/articles/2653221852", "매물Link")</f>
        <v/>
      </c>
      <c r="M2242" s="6">
        <f>HYPERLINK("https://map.naver.com/p/search/장군면 대교리 335-71", "지도Link")</f>
        <v/>
      </c>
      <c r="N2242" s="6">
        <f>HYPERLINK("http://www.eum.go.kr/web/ar/lu/luLandDet.jsp?pnu=3611035023103350071&amp;isNoScr=script&amp;mode=search", "토지이음")</f>
        <v/>
      </c>
      <c r="O2242" s="3" t="inlineStr">
        <is>
          <t>고운맘</t>
        </is>
      </c>
      <c r="P2242" s="4" t="n">
        <v>1</v>
      </c>
      <c r="Q2242" s="4" t="n">
        <v>567</v>
      </c>
      <c r="R2242" s="3" t="inlineStr">
        <is>
          <t>생산관리지역</t>
        </is>
      </c>
      <c r="S2242" s="3" t="inlineStr">
        <is>
          <t>단독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대교리 335-8</t>
        </is>
      </c>
      <c r="B2243" s="3" t="inlineStr">
        <is>
          <t>생산관리지역</t>
        </is>
      </c>
      <c r="C2243" s="3" t="inlineStr">
        <is>
          <t>목장용지</t>
        </is>
      </c>
      <c r="D2243" s="3" t="inlineStr">
        <is>
          <t>목장용지</t>
        </is>
      </c>
      <c r="E2243" s="3" t="inlineStr">
        <is>
          <t>매매</t>
        </is>
      </c>
      <c r="F2243" s="4" t="n">
        <v>30000</v>
      </c>
      <c r="G2243" s="4" t="n">
        <v>442</v>
      </c>
      <c r="H2243" s="4" t="n">
        <v>134</v>
      </c>
      <c r="I2243" s="5" t="n">
        <v>223.9</v>
      </c>
      <c r="J2243" s="5" t="n">
        <v>117.7</v>
      </c>
      <c r="K2243" s="3" t="inlineStr">
        <is>
          <t>투자가치높은 지역 . 전기,수도 시설 건축허가되어있음,</t>
        </is>
      </c>
      <c r="L2243" s="6">
        <f>HYPERLINK("https://fin.land.naver.com/articles/2656245575", "매물Link")</f>
        <v/>
      </c>
      <c r="M2243" s="6">
        <f>HYPERLINK("https://map.naver.com/p/search/장군면 대교리 335-8", "지도Link")</f>
        <v/>
      </c>
      <c r="N2243" s="6">
        <f>HYPERLINK("http://www.eum.go.kr/web/ar/lu/luLandDet.jsp?pnu=3611035023103350008&amp;isNoScr=script&amp;mode=search", "토지이음")</f>
        <v/>
      </c>
      <c r="O2243" s="3" t="inlineStr">
        <is>
          <t>보람뜰</t>
        </is>
      </c>
      <c r="P2243" s="4" t="n">
        <v>1</v>
      </c>
      <c r="Q2243" s="4" t="n">
        <v>442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336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전</t>
        </is>
      </c>
      <c r="E2245" s="3" t="inlineStr">
        <is>
          <t>매매</t>
        </is>
      </c>
      <c r="F2245" s="4" t="n">
        <v>75000</v>
      </c>
      <c r="G2245" s="4" t="n">
        <v>1484</v>
      </c>
      <c r="H2245" s="4" t="n">
        <v>449</v>
      </c>
      <c r="I2245" s="5" t="n">
        <v>167</v>
      </c>
      <c r="J2245" s="5" t="n">
        <v>53.4</v>
      </c>
      <c r="K2245" s="3" t="inlineStr">
        <is>
          <t>김종서장군묘지인근 개발및투자하기 좋은토지</t>
        </is>
      </c>
      <c r="L2245" s="6">
        <f>HYPERLINK("https://fin.land.naver.com/articles/2652293198", "매물Link")</f>
        <v/>
      </c>
      <c r="M2245" s="6">
        <f>HYPERLINK("https://map.naver.com/p/search/장군면 대교리 336", "지도Link")</f>
        <v/>
      </c>
      <c r="N2245" s="6">
        <f>HYPERLINK("http://www.eum.go.kr/web/ar/lu/luLandDet.jsp?pnu=3611035023103360000&amp;isNoScr=script&amp;mode=search", "토지이음")</f>
        <v/>
      </c>
      <c r="O2245" s="3" t="inlineStr">
        <is>
          <t>세종강남</t>
        </is>
      </c>
      <c r="P2245" s="4" t="n">
        <v>1</v>
      </c>
      <c r="Q2245" s="4" t="n">
        <v>1484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대교리 338-3</t>
        </is>
      </c>
      <c r="B2246" s="3" t="inlineStr">
        <is>
          <t>계획관리지역</t>
        </is>
      </c>
      <c r="C2246" s="3" t="inlineStr">
        <is>
          <t>전</t>
        </is>
      </c>
      <c r="D2246" s="3" t="inlineStr">
        <is>
          <t>전</t>
        </is>
      </c>
      <c r="E2246" s="3" t="inlineStr">
        <is>
          <t>매매</t>
        </is>
      </c>
      <c r="F2246" s="4" t="n">
        <v>60000</v>
      </c>
      <c r="G2246" s="4" t="n">
        <v>579</v>
      </c>
      <c r="H2246" s="4" t="n">
        <v>175</v>
      </c>
      <c r="I2246" s="5" t="n">
        <v>342.9</v>
      </c>
      <c r="J2246" s="5" t="n">
        <v>142.9</v>
      </c>
      <c r="K2246" s="3" t="inlineStr">
        <is>
          <t>해누리 전원마을 입구 계획관리 토지매매</t>
        </is>
      </c>
      <c r="L2246" s="6">
        <f>HYPERLINK("https://fin.land.naver.com/articles/2652025581", "매물Link")</f>
        <v/>
      </c>
      <c r="M2246" s="6">
        <f>HYPERLINK("https://map.naver.com/p/search/장군면 대교리 338-3", "지도Link")</f>
        <v/>
      </c>
      <c r="N2246" s="6">
        <f>HYPERLINK("http://www.eum.go.kr/web/ar/lu/luLandDet.jsp?pnu=3611035023103380003&amp;isNoScr=script&amp;mode=search", "토지이음")</f>
        <v/>
      </c>
      <c r="O2246" s="3" t="inlineStr">
        <is>
          <t>에이스</t>
        </is>
      </c>
      <c r="P2246" s="4" t="n">
        <v>1</v>
      </c>
      <c r="Q2246" s="4" t="n">
        <v>561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세로한면(가)</t>
        </is>
      </c>
    </row>
    <row r="2247">
      <c r="A2247" s="3" t="inlineStr">
        <is>
          <t>장군면 대교리 338-6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50000</v>
      </c>
      <c r="G2247" s="4" t="n">
        <v>660</v>
      </c>
      <c r="H2247" s="4" t="n">
        <v>200</v>
      </c>
      <c r="I2247" s="5" t="n">
        <v>250</v>
      </c>
      <c r="J2247" s="5" t="n">
        <v>104.3</v>
      </c>
      <c r="K2247" s="3" t="inlineStr">
        <is>
          <t>대교리 잘조성된 전원주택지</t>
        </is>
      </c>
      <c r="L2247" s="6">
        <f>HYPERLINK("https://fin.land.naver.com/articles/2653836335", "매물Link")</f>
        <v/>
      </c>
      <c r="M2247" s="6">
        <f>HYPERLINK("https://map.naver.com/p/search/장군면 대교리 338-6", "지도Link")</f>
        <v/>
      </c>
      <c r="N2247" s="6">
        <f>HYPERLINK("http://www.eum.go.kr/web/ar/lu/luLandDet.jsp?pnu=3611035023103380006&amp;isNoScr=script&amp;mode=search", "토지이음")</f>
        <v/>
      </c>
      <c r="O2247" s="3" t="inlineStr">
        <is>
          <t>세종천지</t>
        </is>
      </c>
      <c r="P2247" s="4" t="n">
        <v>1</v>
      </c>
      <c r="Q2247" s="4" t="n">
        <v>660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347</t>
        </is>
      </c>
      <c r="B2248" s="3" t="inlineStr">
        <is>
          <t>농림지역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17000</v>
      </c>
      <c r="G2248" s="4" t="n">
        <v>671</v>
      </c>
      <c r="H2248" s="4" t="n">
        <v>203</v>
      </c>
      <c r="I2248" s="5" t="n">
        <v>83.7</v>
      </c>
      <c r="J2248" s="5" t="n">
        <v>31</v>
      </c>
      <c r="K2248" s="3" t="inlineStr">
        <is>
          <t>신도시인접 주말농장 등등 인접지 토지 같이 매매가능</t>
        </is>
      </c>
      <c r="L2248" s="6">
        <f>HYPERLINK("https://fin.land.naver.com/articles/2653051728", "매물Link")</f>
        <v/>
      </c>
      <c r="M2248" s="6">
        <f>HYPERLINK("https://map.naver.com/p/search/장군면 대교리 347", "지도Link")</f>
        <v/>
      </c>
      <c r="N2248" s="6">
        <f>HYPERLINK("http://www.eum.go.kr/web/ar/lu/luLandDet.jsp?pnu=3611035023103470000&amp;isNoScr=script&amp;mode=search", "토지이음")</f>
        <v/>
      </c>
      <c r="O2248" s="3" t="inlineStr">
        <is>
          <t>세종강남</t>
        </is>
      </c>
      <c r="P2248" s="4" t="n">
        <v>1</v>
      </c>
      <c r="Q2248" s="4" t="n">
        <v>671</v>
      </c>
      <c r="R2248" s="3" t="inlineStr">
        <is>
          <t>지정되지않음</t>
        </is>
      </c>
      <c r="S2248" s="3" t="inlineStr">
        <is>
          <t>전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맹지</t>
        </is>
      </c>
    </row>
    <row r="2249">
      <c r="A2249" s="3" t="inlineStr">
        <is>
          <t>장군면 대교리 348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47000</v>
      </c>
      <c r="G2249" s="4" t="n">
        <v>499</v>
      </c>
      <c r="H2249" s="4" t="n">
        <v>151</v>
      </c>
      <c r="I2249" s="5" t="n">
        <v>311.3</v>
      </c>
      <c r="J2249" s="5" t="n">
        <v>35.3</v>
      </c>
      <c r="K2249" s="3" t="inlineStr">
        <is>
          <t>가격조정가능</t>
        </is>
      </c>
      <c r="L2249" s="6">
        <f>HYPERLINK("https://fin.land.naver.com/articles/2652479249", "매물Link")</f>
        <v/>
      </c>
      <c r="M2249" s="6">
        <f>HYPERLINK("https://map.naver.com/p/search/장군면 대교리 348", "지도Link")</f>
        <v/>
      </c>
      <c r="N2249" s="6">
        <f>HYPERLINK("http://www.eum.go.kr/web/ar/lu/luLandDet.jsp?pnu=3611035023103480000&amp;isNoScr=script&amp;mode=search", "토지이음")</f>
        <v/>
      </c>
      <c r="O2249" s="3" t="inlineStr">
        <is>
          <t>그래그</t>
        </is>
      </c>
      <c r="P2249" s="4" t="n">
        <v>2</v>
      </c>
      <c r="Q2249" s="4" t="n">
        <v>499</v>
      </c>
      <c r="R2249" s="3" t="inlineStr">
        <is>
          <t>지정되지않음</t>
        </is>
      </c>
      <c r="S2249" s="3" t="inlineStr">
        <is>
          <t>전기타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30200</v>
      </c>
      <c r="G2250" s="4" t="n">
        <v>499</v>
      </c>
      <c r="H2250" s="4" t="n">
        <v>151</v>
      </c>
      <c r="I2250" s="5" t="n">
        <v>200</v>
      </c>
      <c r="J2250" s="5" t="n">
        <v>35.3</v>
      </c>
      <c r="K2250" s="3" t="inlineStr">
        <is>
          <t>지대가 높아 뷰가 좋은 위치,한옥주택 및 김종서장군묘소 인접,4필지 매매</t>
        </is>
      </c>
      <c r="L2250" s="6">
        <f>HYPERLINK("https://fin.land.naver.com/articles/2655577711",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고운맘</t>
        </is>
      </c>
      <c r="P2250" s="4" t="n">
        <v>1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348-1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대</t>
        </is>
      </c>
      <c r="E2251" s="3" t="inlineStr">
        <is>
          <t>매매</t>
        </is>
      </c>
      <c r="F2251" s="4" t="n">
        <v>28000</v>
      </c>
      <c r="G2251" s="4" t="n">
        <v>516</v>
      </c>
      <c r="H2251" s="4" t="n">
        <v>156</v>
      </c>
      <c r="I2251" s="5" t="n">
        <v>179.5</v>
      </c>
      <c r="J2251" s="5" t="n">
        <v>35.3</v>
      </c>
      <c r="K2251" s="3" t="inlineStr">
        <is>
          <t>근생부지허가난 토지,가격조율</t>
        </is>
      </c>
      <c r="L2251" s="6">
        <f>HYPERLINK("https://fin.land.naver.com/articles/2654851939", "매물Link")</f>
        <v/>
      </c>
      <c r="M2251" s="6">
        <f>HYPERLINK("https://map.naver.com/p/search/장군면 대교리 348-1", "지도Link")</f>
        <v/>
      </c>
      <c r="N2251" s="6">
        <f>HYPERLINK("http://www.eum.go.kr/web/ar/lu/luLandDet.jsp?pnu=3611035023103480001&amp;isNoScr=script&amp;mode=search", "토지이음")</f>
        <v/>
      </c>
      <c r="O2251" s="3" t="inlineStr">
        <is>
          <t>담뜰</t>
        </is>
      </c>
      <c r="P2251" s="4" t="n">
        <v>2</v>
      </c>
      <c r="Q2251" s="4" t="n">
        <v>516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348-4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39000</v>
      </c>
      <c r="G2252" s="4" t="n">
        <v>710</v>
      </c>
      <c r="H2252" s="4" t="n">
        <v>215</v>
      </c>
      <c r="I2252" s="5" t="n">
        <v>181.4</v>
      </c>
      <c r="J2252" s="5" t="n">
        <v>35.3</v>
      </c>
      <c r="K2252" s="3" t="inlineStr">
        <is>
          <t>가격조정가능</t>
        </is>
      </c>
      <c r="L2252" s="6">
        <f>HYPERLINK("https://fin.land.naver.com/articles/2654384477", "매물Link")</f>
        <v/>
      </c>
      <c r="M2252" s="6">
        <f>HYPERLINK("https://map.naver.com/p/search/장군면 대교리 348-4", "지도Link")</f>
        <v/>
      </c>
      <c r="N2252" s="6">
        <f>HYPERLINK("http://www.eum.go.kr/web/ar/lu/luLandDet.jsp?pnu=3611035023103480004&amp;isNoScr=script&amp;mode=search", "토지이음")</f>
        <v/>
      </c>
      <c r="O2252" s="3" t="inlineStr">
        <is>
          <t>그래그</t>
        </is>
      </c>
      <c r="P2252" s="4" t="n">
        <v>1</v>
      </c>
      <c r="Q2252" s="4" t="n">
        <v>710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348-6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28000</v>
      </c>
      <c r="G2253" s="4" t="n">
        <v>511</v>
      </c>
      <c r="H2253" s="4" t="n">
        <v>155</v>
      </c>
      <c r="I2253" s="5" t="n">
        <v>180.6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HYPERLINK("https://fin.land.naver.com/articles/2652481467", "매물Link")</f>
        <v/>
      </c>
      <c r="M2253" s="6">
        <f>HYPERLINK("https://map.naver.com/p/search/장군면 대교리 348-6", "지도Link")</f>
        <v/>
      </c>
      <c r="N2253" s="6">
        <f>HYPERLINK("http://www.eum.go.kr/web/ar/lu/luLandDet.jsp?pnu=3611035023103480006&amp;isNoScr=script&amp;mode=search",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511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349-1</t>
        </is>
      </c>
      <c r="B2254" s="3" t="inlineStr">
        <is>
          <t>농림지역</t>
        </is>
      </c>
      <c r="C2254" s="3" t="inlineStr">
        <is>
          <t>목장용지</t>
        </is>
      </c>
      <c r="D2254" s="3" t="inlineStr">
        <is>
          <t>목장용지</t>
        </is>
      </c>
      <c r="E2254" s="3" t="inlineStr">
        <is>
          <t>매매</t>
        </is>
      </c>
      <c r="F2254" s="4" t="n">
        <v>54000</v>
      </c>
      <c r="G2254" s="4" t="n">
        <v>636</v>
      </c>
      <c r="H2254" s="4" t="n">
        <v>192</v>
      </c>
      <c r="I2254" s="5" t="n">
        <v>281.2</v>
      </c>
      <c r="J2254" s="5" t="n">
        <v>40.2</v>
      </c>
      <c r="K2254" s="3" t="inlineStr">
        <is>
          <t>공유지분포함216P 목장용지 진입도로유 투자가치최고 적극조율</t>
        </is>
      </c>
      <c r="L2254" s="6">
        <f>HYPERLINK("https://fin.land.naver.com/articles/2651200267", "매물Link")</f>
        <v/>
      </c>
      <c r="M2254" s="6">
        <f>HYPERLINK("https://map.naver.com/p/search/장군면 대교리 349-1", "지도Link")</f>
        <v/>
      </c>
      <c r="N2254" s="6">
        <f>HYPERLINK("http://www.eum.go.kr/web/ar/lu/luLandDet.jsp?pnu=3611035023103490001&amp;isNoScr=script&amp;mode=search", "토지이음")</f>
        <v/>
      </c>
      <c r="O2254" s="3" t="inlineStr">
        <is>
          <t>세종대왕</t>
        </is>
      </c>
      <c r="P2254" s="4" t="n">
        <v>1</v>
      </c>
      <c r="Q2254" s="4" t="n">
        <v>636</v>
      </c>
      <c r="R2254" s="3" t="inlineStr">
        <is>
          <t>지정되지않음</t>
        </is>
      </c>
      <c r="S2254" s="3" t="inlineStr">
        <is>
          <t>전축사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349-5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56000</v>
      </c>
      <c r="G2255" s="4" t="n">
        <v>663</v>
      </c>
      <c r="H2255" s="4" t="n">
        <v>201</v>
      </c>
      <c r="I2255" s="5" t="n">
        <v>278.6</v>
      </c>
      <c r="J2255" s="5" t="n">
        <v>40.2</v>
      </c>
      <c r="K2255" s="3" t="inlineStr">
        <is>
          <t>공유지분포함224P 목장용지 진입도로유 투자가치최고 적극조율</t>
        </is>
      </c>
      <c r="L2255" s="6">
        <f>HYPERLINK("https://fin.land.naver.com/articles/2651199778", "매물Link")</f>
        <v/>
      </c>
      <c r="M2255" s="6">
        <f>HYPERLINK("https://map.naver.com/p/search/장군면 대교리 349-5", "지도Link")</f>
        <v/>
      </c>
      <c r="N2255" s="6">
        <f>HYPERLINK("http://www.eum.go.kr/web/ar/lu/luLandDet.jsp?pnu=3611035023103490005&amp;isNoScr=script&amp;mode=search",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663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354</t>
        </is>
      </c>
      <c r="B2256" s="3" t="inlineStr">
        <is>
          <t>농림지역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120000</v>
      </c>
      <c r="G2256" s="4" t="n">
        <v>2261</v>
      </c>
      <c r="H2256" s="4" t="n">
        <v>684</v>
      </c>
      <c r="I2256" s="5" t="n">
        <v>175.4</v>
      </c>
      <c r="J2256" s="5" t="n">
        <v>35.3</v>
      </c>
      <c r="K2256" s="3" t="inlineStr">
        <is>
          <t>nan</t>
        </is>
      </c>
      <c r="L2256" s="6">
        <f>HYPERLINK("https://fin.land.naver.com/articles/2655691176", "매물Link")</f>
        <v/>
      </c>
      <c r="M2256" s="6">
        <f>HYPERLINK("https://map.naver.com/p/search/장군면 대교리 354", "지도Link")</f>
        <v/>
      </c>
      <c r="N2256" s="6">
        <f>HYPERLINK("http://www.eum.go.kr/web/ar/lu/luLandDet.jsp?pnu=3611035023103540000&amp;isNoScr=script&amp;mode=search", "토지이음")</f>
        <v/>
      </c>
      <c r="O2256" s="3" t="inlineStr">
        <is>
          <t>다온</t>
        </is>
      </c>
      <c r="P2256" s="4" t="n">
        <v>1</v>
      </c>
      <c r="Q2256" s="4" t="n">
        <v>2261</v>
      </c>
      <c r="R2256" s="3" t="inlineStr">
        <is>
          <t>지정되지않음</t>
        </is>
      </c>
      <c r="S2256" s="3" t="inlineStr">
        <is>
          <t>전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장군면 대교리 370-22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50000</v>
      </c>
      <c r="G2257" s="4" t="n">
        <v>647</v>
      </c>
      <c r="H2257" s="4" t="n">
        <v>196</v>
      </c>
      <c r="I2257" s="5" t="n">
        <v>255.1</v>
      </c>
      <c r="J2257" s="5" t="n">
        <v>153.3</v>
      </c>
      <c r="K2257" s="3" t="inlineStr">
        <is>
          <t>급매,코너각지,조망권뷰 최상,김종서장군묘소 인접,가격조정가능</t>
        </is>
      </c>
      <c r="L2257" s="6">
        <f>HYPERLINK("https://fin.land.naver.com/articles/2654645725", "매물Link")</f>
        <v/>
      </c>
      <c r="M2257" s="6">
        <f>HYPERLINK("https://map.naver.com/p/search/장군면 대교리 370-22", "지도Link")</f>
        <v/>
      </c>
      <c r="N2257" s="6">
        <f>HYPERLINK("http://www.eum.go.kr/web/ar/lu/luLandDet.jsp?pnu=3611035023103700022&amp;isNoScr=script&amp;mode=search",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490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소로한면</t>
        </is>
      </c>
    </row>
    <row r="2258">
      <c r="A2258" s="3" t="inlineStr">
        <is>
          <t>장군면 대교리 370-23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35000</v>
      </c>
      <c r="G2258" s="4" t="n">
        <v>470</v>
      </c>
      <c r="H2258" s="4" t="n">
        <v>142</v>
      </c>
      <c r="I2258" s="5" t="n">
        <v>246.5</v>
      </c>
      <c r="J2258" s="5" t="n">
        <v>153.3</v>
      </c>
      <c r="K2258" s="3" t="inlineStr">
        <is>
          <t>nan</t>
        </is>
      </c>
      <c r="L2258" s="6">
        <f>HYPERLINK("https://fin.land.naver.com/articles/2651584502", "매물Link")</f>
        <v/>
      </c>
      <c r="M2258" s="6">
        <f>HYPERLINK("https://map.naver.com/p/search/장군면 대교리 370-23", "지도Link")</f>
        <v/>
      </c>
      <c r="N2258" s="6">
        <f>HYPERLINK("http://www.eum.go.kr/web/ar/lu/luLandDet.jsp?pnu=3611035023103700023&amp;isNoScr=script&amp;mode=search", "토지이음")</f>
        <v/>
      </c>
      <c r="O2258" s="3" t="inlineStr">
        <is>
          <t>세종몽땅</t>
        </is>
      </c>
      <c r="P2258" s="4" t="n">
        <v>1</v>
      </c>
      <c r="Q2258" s="4" t="n">
        <v>470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370-56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45000</v>
      </c>
      <c r="G2260" s="4" t="n">
        <v>540</v>
      </c>
      <c r="H2260" s="4" t="n">
        <v>163</v>
      </c>
      <c r="I2260" s="5" t="n">
        <v>276.1</v>
      </c>
      <c r="J2260" s="5" t="n">
        <v>153.3</v>
      </c>
      <c r="K2260" s="3" t="inlineStr">
        <is>
          <t>nan</t>
        </is>
      </c>
      <c r="L2260" s="6">
        <f>HYPERLINK("https://fin.land.naver.com/articles/2652480617", "매물Link")</f>
        <v/>
      </c>
      <c r="M2260" s="6">
        <f>HYPERLINK("https://map.naver.com/p/search/장군면 대교리 370-56", "지도Link")</f>
        <v/>
      </c>
      <c r="N2260" s="6">
        <f>HYPERLINK("http://www.eum.go.kr/web/ar/lu/luLandDet.jsp?pnu=3611035023103700056&amp;isNoScr=script&amp;mode=search", "토지이음")</f>
        <v/>
      </c>
      <c r="O2260" s="3" t="inlineStr">
        <is>
          <t>그래그</t>
        </is>
      </c>
      <c r="P2260" s="4" t="n">
        <v>2</v>
      </c>
      <c r="Q2260" s="4" t="n">
        <v>540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715</v>
      </c>
      <c r="H2261" s="4" t="n">
        <v>216</v>
      </c>
      <c r="I2261" s="5" t="n">
        <v>231.5</v>
      </c>
      <c r="J2261" s="5" t="n">
        <v>153.3</v>
      </c>
      <c r="K2261" s="3" t="inlineStr">
        <is>
          <t>세종그르노블 단독주택지</t>
        </is>
      </c>
      <c r="L2261" s="6">
        <f>HYPERLINK("https://fin.land.naver.com/articles/2652350731",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40000</v>
      </c>
      <c r="G2262" s="4" t="n">
        <v>540</v>
      </c>
      <c r="H2262" s="4" t="n">
        <v>163</v>
      </c>
      <c r="I2262" s="5" t="n">
        <v>245.4</v>
      </c>
      <c r="J2262" s="5" t="n">
        <v>153.3</v>
      </c>
      <c r="K2262" s="3" t="inlineStr">
        <is>
          <t>급매,지대가 높아 뷰가 좋은 위치,김종서장군묘소인접,코너각지</t>
        </is>
      </c>
      <c r="L2262" s="6">
        <f>HYPERLINK("https://fin.land.naver.com/articles/2656215572",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379-1</t>
        </is>
      </c>
      <c r="B2263" s="3" t="inlineStr">
        <is>
          <t>계획관리지역</t>
        </is>
      </c>
      <c r="C2263" s="3" t="inlineStr">
        <is>
          <t>전</t>
        </is>
      </c>
      <c r="D2263" s="3" t="inlineStr">
        <is>
          <t>전</t>
        </is>
      </c>
      <c r="E2263" s="3" t="inlineStr">
        <is>
          <t>매매</t>
        </is>
      </c>
      <c r="F2263" s="4" t="n">
        <v>221500</v>
      </c>
      <c r="G2263" s="4" t="n">
        <v>2092</v>
      </c>
      <c r="H2263" s="4" t="n">
        <v>633</v>
      </c>
      <c r="I2263" s="5" t="n">
        <v>349.9</v>
      </c>
      <c r="J2263" s="5" t="n">
        <v>55.7</v>
      </c>
      <c r="K2263" s="3" t="inlineStr">
        <is>
          <t>카페 등 근생 강추 다양한 용도로 가능(김종서 테마공원 입구)</t>
        </is>
      </c>
      <c r="L2263" s="6">
        <f>HYPERLINK("https://fin.land.naver.com/articles/2653340163", "매물Link")</f>
        <v/>
      </c>
      <c r="M2263" s="6">
        <f>HYPERLINK("https://map.naver.com/p/search/장군면 대교리 379-1", "지도Link")</f>
        <v/>
      </c>
      <c r="N2263" s="6">
        <f>HYPERLINK("http://www.eum.go.kr/web/ar/lu/luLandDet.jsp?pnu=3611035023103790001&amp;isNoScr=script&amp;mode=search", "토지이음")</f>
        <v/>
      </c>
      <c r="O2263" s="3" t="inlineStr">
        <is>
          <t>상상</t>
        </is>
      </c>
      <c r="P2263" s="4" t="n">
        <v>1</v>
      </c>
      <c r="Q2263" s="4" t="n">
        <v>2092</v>
      </c>
      <c r="R2263" s="3" t="inlineStr">
        <is>
          <t>지정되지않음</t>
        </is>
      </c>
      <c r="S2263" s="3" t="inlineStr">
        <is>
          <t>전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403-10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61000</v>
      </c>
      <c r="G2264" s="4" t="n">
        <v>873</v>
      </c>
      <c r="H2264" s="4" t="n">
        <v>264</v>
      </c>
      <c r="I2264" s="5" t="n">
        <v>231.1</v>
      </c>
      <c r="J2264" s="5" t="n">
        <v>137.3</v>
      </c>
      <c r="K2264" s="3" t="inlineStr">
        <is>
          <t>세종시 인접한 전원주택지</t>
        </is>
      </c>
      <c r="L2264" s="6">
        <f>HYPERLINK("https://fin.land.naver.com/articles/2654279727", "매물Link")</f>
        <v/>
      </c>
      <c r="M2264" s="6">
        <f>HYPERLINK("https://map.naver.com/p/search/장군면 대교리 403-10", "지도Link")</f>
        <v/>
      </c>
      <c r="N2264" s="6">
        <f>HYPERLINK("http://www.eum.go.kr/web/ar/lu/luLandDet.jsp?pnu=3611035023104030010&amp;isNoScr=script&amp;mode=search",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873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사다리형</t>
        </is>
      </c>
      <c r="V2264" s="3" t="inlineStr">
        <is>
          <t>세로한면(가)</t>
        </is>
      </c>
    </row>
    <row r="2265">
      <c r="A2265" s="3" t="inlineStr">
        <is>
          <t>장군면 대교리 403-13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37000</v>
      </c>
      <c r="G2265" s="4" t="n">
        <v>506</v>
      </c>
      <c r="H2265" s="4" t="n">
        <v>153</v>
      </c>
      <c r="I2265" s="5" t="n">
        <v>241.8</v>
      </c>
      <c r="J2265" s="5" t="n">
        <v>102.1</v>
      </c>
      <c r="K2265" s="3" t="inlineStr">
        <is>
          <t>급매.세종 생활권 가까워 투자가치와 활용도 높은 토지</t>
        </is>
      </c>
      <c r="L2265" s="6">
        <f>HYPERLINK("https://fin.land.naver.com/articles/2655600208", "매물Link")</f>
        <v/>
      </c>
      <c r="M2265" s="6">
        <f>HYPERLINK("https://map.naver.com/p/search/장군면 대교리 403-13", "지도Link")</f>
        <v/>
      </c>
      <c r="N2265" s="6">
        <f>HYPERLINK("http://www.eum.go.kr/web/ar/lu/luLandDet.jsp?pnu=3611035023104030013&amp;isNoScr=script&amp;mode=search", "토지이음")</f>
        <v/>
      </c>
      <c r="O2265" s="3" t="inlineStr">
        <is>
          <t>가치잇는</t>
        </is>
      </c>
      <c r="P2265" s="4" t="n">
        <v>2</v>
      </c>
      <c r="Q2265" s="4" t="n">
        <v>506</v>
      </c>
      <c r="R2265" s="3" t="inlineStr">
        <is>
          <t>지정되지않음</t>
        </is>
      </c>
      <c r="S2265" s="3" t="inlineStr">
        <is>
          <t>전기타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세종 신도심부근  접근성 좋음, 투자가치 높음</t>
        </is>
      </c>
      <c r="L2266" s="6">
        <f>HYPERLINK("https://fin.land.naver.com/articles/2653866297",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세종제일</t>
        </is>
      </c>
      <c r="P2266" s="4" t="n">
        <v>1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406-2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17500</v>
      </c>
      <c r="G2267" s="4" t="n">
        <v>276</v>
      </c>
      <c r="H2267" s="4" t="n">
        <v>83</v>
      </c>
      <c r="I2267" s="5" t="n">
        <v>210.8</v>
      </c>
      <c r="J2267" s="5" t="n">
        <v>141.6</v>
      </c>
      <c r="K2267" s="3" t="inlineStr">
        <is>
          <t>주말농장 으로 활용하셔도 되요</t>
        </is>
      </c>
      <c r="L2267" s="6">
        <f>HYPERLINK("https://fin.land.naver.com/articles/2652096528", "매물Link")</f>
        <v/>
      </c>
      <c r="M2267" s="6">
        <f>HYPERLINK("https://map.naver.com/p/search/장군면 대교리 406-2", "지도Link")</f>
        <v/>
      </c>
      <c r="N2267" s="6">
        <f>HYPERLINK("http://www.eum.go.kr/web/ar/lu/luLandDet.jsp?pnu=3611035023104060002&amp;isNoScr=script&amp;mode=search", "토지이음")</f>
        <v/>
      </c>
      <c r="O2267" s="3" t="inlineStr">
        <is>
          <t>지호주식회사</t>
        </is>
      </c>
      <c r="P2267" s="4" t="n">
        <v>1</v>
      </c>
      <c r="Q2267" s="4" t="n">
        <v>276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420-11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137000</v>
      </c>
      <c r="G2268" s="4" t="n">
        <v>4097</v>
      </c>
      <c r="H2268" s="4" t="n">
        <v>1239</v>
      </c>
      <c r="I2268" s="5" t="n">
        <v>110.6</v>
      </c>
      <c r="J2268" s="5" t="n">
        <v>40.7</v>
      </c>
      <c r="K2268" s="3" t="inlineStr">
        <is>
          <t>대교리 도로에접한 농림지 답</t>
        </is>
      </c>
      <c r="L2268" s="6">
        <f>HYPERLINK("https://fin.land.naver.com/articles/2655764920", "매물Link")</f>
        <v/>
      </c>
      <c r="M2268" s="6">
        <f>HYPERLINK("https://map.naver.com/p/search/장군면 대교리 420-11", "지도Link")</f>
        <v/>
      </c>
      <c r="N2268" s="6">
        <f>HYPERLINK("http://www.eum.go.kr/web/ar/lu/luLandDet.jsp?pnu=3611035023104200011&amp;isNoScr=script&amp;mode=search", "토지이음")</f>
        <v/>
      </c>
      <c r="O2268" s="3" t="inlineStr">
        <is>
          <t>세종천지</t>
        </is>
      </c>
      <c r="P2268" s="4" t="n">
        <v>1</v>
      </c>
      <c r="Q2268" s="4" t="n">
        <v>3001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가로장방</t>
        </is>
      </c>
      <c r="V2268" s="3" t="inlineStr">
        <is>
          <t>세로한면(가)</t>
        </is>
      </c>
    </row>
    <row r="2269">
      <c r="A2269" s="3" t="inlineStr">
        <is>
          <t>장군면 대교리 433-13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109000</v>
      </c>
      <c r="G2269" s="4" t="n">
        <v>1803</v>
      </c>
      <c r="H2269" s="4" t="n">
        <v>545</v>
      </c>
      <c r="I2269" s="5" t="n">
        <v>200</v>
      </c>
      <c r="J2269" s="5" t="n">
        <v>44.7</v>
      </c>
      <c r="K2269" s="3" t="inlineStr">
        <is>
          <t>김종서장군 역사테마공원 인근 도로에 2면 접한 토지</t>
        </is>
      </c>
      <c r="L2269" s="6">
        <f>HYPERLINK("https://fin.land.naver.com/articles/2652100664", "매물Link")</f>
        <v/>
      </c>
      <c r="M2269" s="6">
        <f>HYPERLINK("https://map.naver.com/p/search/장군면 대교리 433-13", "지도Link")</f>
        <v/>
      </c>
      <c r="N2269" s="6">
        <f>HYPERLINK("http://www.eum.go.kr/web/ar/lu/luLandDet.jsp?pnu=3611035023104330013&amp;isNoScr=script&amp;mode=search", "토지이음")</f>
        <v/>
      </c>
      <c r="O2269" s="3" t="inlineStr">
        <is>
          <t>미스터홈즈강남지사</t>
        </is>
      </c>
      <c r="P2269" s="4" t="n">
        <v>1</v>
      </c>
      <c r="Q2269" s="4" t="n">
        <v>1803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정방형</t>
        </is>
      </c>
      <c r="V2269" s="3" t="inlineStr">
        <is>
          <t>세로각지(가)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87000</v>
      </c>
      <c r="G2270" s="4" t="n">
        <v>1803</v>
      </c>
      <c r="H2270" s="4" t="n">
        <v>545</v>
      </c>
      <c r="I2270" s="5" t="n">
        <v>159.6</v>
      </c>
      <c r="J2270" s="5" t="n">
        <v>44.7</v>
      </c>
      <c r="K2270" s="3" t="inlineStr">
        <is>
          <t>김종서장군 역사테마공원 가는길 도로변 농림지역 토지</t>
        </is>
      </c>
      <c r="L2270" s="6">
        <f>HYPERLINK("https://fin.land.naver.com/articles/2656063188",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온뜰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지가상승및 투자가치 있는 장군면 김종서장군묘역인근 토지 매매</t>
        </is>
      </c>
      <c r="L2271" s="6">
        <f>HYPERLINK("https://fin.land.naver.com/articles/2656397403",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리슈빌대주</t>
        </is>
      </c>
      <c r="P2271" s="4" t="n">
        <v>1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437</t>
        </is>
      </c>
      <c r="B2272" s="3" t="inlineStr">
        <is>
          <t>계획관리지역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247000</v>
      </c>
      <c r="G2272" s="4" t="n">
        <v>2731</v>
      </c>
      <c r="H2272" s="4" t="n">
        <v>826</v>
      </c>
      <c r="I2272" s="5" t="n">
        <v>299</v>
      </c>
      <c r="J2272" s="5" t="n">
        <v>88.40000000000001</v>
      </c>
      <c r="K2272" s="3" t="inlineStr">
        <is>
          <t>대형베이커리카페 음식점 전원주택등 추천</t>
        </is>
      </c>
      <c r="L2272" s="6">
        <f>HYPERLINK("https://fin.land.naver.com/articles/2655286295", "매물Link")</f>
        <v/>
      </c>
      <c r="M2272" s="6">
        <f>HYPERLINK("https://map.naver.com/p/search/장군면 대교리 437", "지도Link")</f>
        <v/>
      </c>
      <c r="N2272" s="6">
        <f>HYPERLINK("http://www.eum.go.kr/web/ar/lu/luLandDet.jsp?pnu=3611035023104370000&amp;isNoScr=script&amp;mode=search", "토지이음")</f>
        <v/>
      </c>
      <c r="O2272" s="3" t="inlineStr">
        <is>
          <t>경민</t>
        </is>
      </c>
      <c r="P2272" s="4" t="n">
        <v>2</v>
      </c>
      <c r="Q2272" s="4" t="n">
        <v>2731</v>
      </c>
      <c r="R2272" s="3" t="inlineStr">
        <is>
          <t>지정되지않음</t>
        </is>
      </c>
      <c r="S2272" s="3" t="inlineStr">
        <is>
          <t>답축사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451-9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31000</v>
      </c>
      <c r="G2273" s="4" t="n">
        <v>1977</v>
      </c>
      <c r="H2273" s="4" t="n">
        <v>598</v>
      </c>
      <c r="I2273" s="5" t="n">
        <v>51.8</v>
      </c>
      <c r="J2273" s="5" t="n">
        <v>27.2</v>
      </c>
      <c r="K2273" s="3" t="inlineStr">
        <is>
          <t>조절가능 세종시 임야를 찾으시면 연락주세요</t>
        </is>
      </c>
      <c r="L2273" s="6">
        <f>HYPERLINK("https://fin.land.naver.com/articles/2654335677", "매물Link")</f>
        <v/>
      </c>
      <c r="M2273" s="6">
        <f>HYPERLINK("https://map.naver.com/p/search/장군면 대교리 451-9", "지도Link")</f>
        <v/>
      </c>
      <c r="N2273" s="6">
        <f>HYPERLINK("http://www.eum.go.kr/web/ar/lu/luLandDet.jsp?pnu=3611035023104510009&amp;isNoScr=script&amp;mode=search", "토지이음")</f>
        <v/>
      </c>
      <c r="O2273" s="3" t="inlineStr">
        <is>
          <t>숭어리탑</t>
        </is>
      </c>
      <c r="P2273" s="4" t="n">
        <v>1</v>
      </c>
      <c r="Q2273" s="4" t="n">
        <v>1977</v>
      </c>
      <c r="R2273" s="3" t="inlineStr">
        <is>
          <t>지정되지않음</t>
        </is>
      </c>
      <c r="S2273" s="3" t="inlineStr">
        <is>
          <t>자연림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맹지</t>
        </is>
      </c>
    </row>
    <row r="2274">
      <c r="A2274" s="3" t="inlineStr">
        <is>
          <t>장군면 대교리 457-2</t>
        </is>
      </c>
      <c r="B2274" s="3" t="inlineStr">
        <is>
          <t>농림지역</t>
        </is>
      </c>
      <c r="C2274" s="3" t="inlineStr">
        <is>
          <t>답</t>
        </is>
      </c>
      <c r="D2274" s="3" t="inlineStr">
        <is>
          <t>답</t>
        </is>
      </c>
      <c r="E2274" s="3" t="inlineStr">
        <is>
          <t>매매</t>
        </is>
      </c>
      <c r="F2274" s="4" t="n">
        <v>92500</v>
      </c>
      <c r="G2274" s="4" t="n">
        <v>2550</v>
      </c>
      <c r="H2274" s="4" t="n">
        <v>771</v>
      </c>
      <c r="I2274" s="5" t="n">
        <v>120</v>
      </c>
      <c r="J2274" s="5" t="n">
        <v>69.2</v>
      </c>
      <c r="K2274" s="3" t="inlineStr">
        <is>
          <t>2차선 도로 접하고 신도시 인접한 지가상승 토지</t>
        </is>
      </c>
      <c r="L2274" s="6">
        <f>HYPERLINK("https://fin.land.naver.com/articles/2655840613", "매물Link")</f>
        <v/>
      </c>
      <c r="M2274" s="6">
        <f>HYPERLINK("https://map.naver.com/p/search/장군면 대교리 457-2", "지도Link")</f>
        <v/>
      </c>
      <c r="N2274" s="6">
        <f>HYPERLINK("http://www.eum.go.kr/web/ar/lu/luLandDet.jsp?pnu=3611035023104570002&amp;isNoScr=script&amp;mode=search", "토지이음")</f>
        <v/>
      </c>
      <c r="O2274" s="3" t="inlineStr">
        <is>
          <t>발품</t>
        </is>
      </c>
      <c r="P2274" s="4" t="n">
        <v>1</v>
      </c>
      <c r="Q2274" s="4" t="n">
        <v>2550</v>
      </c>
      <c r="R2274" s="3" t="inlineStr">
        <is>
          <t>지정되지않음</t>
        </is>
      </c>
      <c r="S2274" s="3" t="inlineStr">
        <is>
          <t>답</t>
        </is>
      </c>
      <c r="T2274" s="3" t="inlineStr">
        <is>
          <t>평지</t>
        </is>
      </c>
      <c r="U2274" s="3" t="inlineStr">
        <is>
          <t>사다리형</t>
        </is>
      </c>
      <c r="V2274" s="3" t="inlineStr">
        <is>
          <t>소로각지</t>
        </is>
      </c>
    </row>
    <row r="2275">
      <c r="A2275" s="3" t="inlineStr">
        <is>
          <t>장군면 대교리 462-9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28000</v>
      </c>
      <c r="G2275" s="4" t="n">
        <v>827</v>
      </c>
      <c r="H2275" s="4" t="n">
        <v>250</v>
      </c>
      <c r="I2275" s="5" t="n">
        <v>112</v>
      </c>
      <c r="J2275" s="5" t="n">
        <v>27</v>
      </c>
      <c r="K2275" s="3" t="inlineStr">
        <is>
          <t>nan</t>
        </is>
      </c>
      <c r="L2275" s="6">
        <f>HYPERLINK("https://fin.land.naver.com/articles/2652747768", "매물Link")</f>
        <v/>
      </c>
      <c r="M2275" s="6">
        <f>HYPERLINK("https://map.naver.com/p/search/장군면 대교리 462-9", "지도Link")</f>
        <v/>
      </c>
      <c r="N2275" s="6">
        <f>HYPERLINK("http://www.eum.go.kr/web/ar/lu/luLandDet.jsp?pnu=3611035023104620009&amp;isNoScr=script&amp;mode=search", "토지이음")</f>
        <v/>
      </c>
      <c r="O2275" s="3" t="inlineStr">
        <is>
          <t>세종대평</t>
        </is>
      </c>
      <c r="P2275" s="4" t="n">
        <v>1</v>
      </c>
      <c r="Q2275" s="4" t="n">
        <v>827</v>
      </c>
      <c r="R2275" s="3" t="inlineStr">
        <is>
          <t>지정되지않음</t>
        </is>
      </c>
      <c r="S2275" s="3" t="inlineStr">
        <is>
          <t>자연림</t>
        </is>
      </c>
      <c r="T2275" s="3" t="inlineStr">
        <is>
          <t>완경사</t>
        </is>
      </c>
      <c r="U2275" s="3" t="inlineStr">
        <is>
          <t>자루형</t>
        </is>
      </c>
      <c r="V2275" s="3" t="inlineStr">
        <is>
          <t>맹지</t>
        </is>
      </c>
    </row>
    <row r="2276">
      <c r="A2276" s="3" t="inlineStr">
        <is>
          <t>장군면 대교리 463-3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170000</v>
      </c>
      <c r="G2276" s="4" t="n">
        <v>3666</v>
      </c>
      <c r="H2276" s="4" t="n">
        <v>1109</v>
      </c>
      <c r="I2276" s="5" t="n">
        <v>153.3</v>
      </c>
      <c r="J2276" s="5" t="n">
        <v>68.5</v>
      </c>
      <c r="K2276" s="3" t="inlineStr">
        <is>
          <t>급매. 도로 연접. 세종 행복도시 2분.</t>
        </is>
      </c>
      <c r="L2276" s="6">
        <f>HYPERLINK("https://fin.land.naver.com/articles/2651225583", "매물Link")</f>
        <v/>
      </c>
      <c r="M2276" s="6">
        <f>HYPERLINK("https://map.naver.com/p/search/장군면 대교리 463-3", "지도Link")</f>
        <v/>
      </c>
      <c r="N2276" s="6">
        <f>HYPERLINK("http://www.eum.go.kr/web/ar/lu/luLandDet.jsp?pnu=3611035023104630003&amp;isNoScr=script&amp;mode=search", "토지이음")</f>
        <v/>
      </c>
      <c r="O2276" s="3" t="inlineStr">
        <is>
          <t>법조연합은온</t>
        </is>
      </c>
      <c r="P2276" s="4" t="n">
        <v>1</v>
      </c>
      <c r="Q2276" s="4" t="n">
        <v>3666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소로한면</t>
        </is>
      </c>
    </row>
    <row r="2277">
      <c r="A2277" s="3" t="inlineStr">
        <is>
          <t>장군면 대교리 478-2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78650</v>
      </c>
      <c r="G2277" s="4" t="n">
        <v>2363</v>
      </c>
      <c r="H2277" s="4" t="n">
        <v>715</v>
      </c>
      <c r="I2277" s="5" t="n">
        <v>110</v>
      </c>
      <c r="J2277" s="5" t="n">
        <v>45.1</v>
      </c>
      <c r="K2277" s="3" t="inlineStr">
        <is>
          <t>2면도로접함 개발호재많음 농가주택가능</t>
        </is>
      </c>
      <c r="L2277" s="6">
        <f>HYPERLINK("https://fin.land.naver.com/articles/2654883002", "매물Link")</f>
        <v/>
      </c>
      <c r="M2277" s="6">
        <f>HYPERLINK("https://map.naver.com/p/search/장군면 대교리 478-2", "지도Link")</f>
        <v/>
      </c>
      <c r="N2277" s="6">
        <f>HYPERLINK("http://www.eum.go.kr/web/ar/lu/luLandDet.jsp?pnu=3611035023104780002&amp;isNoScr=script&amp;mode=search", "토지이음")</f>
        <v/>
      </c>
      <c r="O2277" s="3" t="inlineStr">
        <is>
          <t>세종마당</t>
        </is>
      </c>
      <c r="P2277" s="4" t="n">
        <v>1</v>
      </c>
      <c r="Q2277" s="4" t="n">
        <v>2363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세로각지(가)</t>
        </is>
      </c>
    </row>
    <row r="2278">
      <c r="A2278" s="3" t="inlineStr">
        <is>
          <t>장군면 대교리 478-3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82000</v>
      </c>
      <c r="G2278" s="4" t="n">
        <v>2363</v>
      </c>
      <c r="H2278" s="4" t="n">
        <v>715</v>
      </c>
      <c r="I2278" s="5" t="n">
        <v>114.7</v>
      </c>
      <c r="J2278" s="5" t="n">
        <v>44.6</v>
      </c>
      <c r="K2278" s="3" t="inlineStr">
        <is>
          <t>농림지역 농가주택가능 개발호재지역</t>
        </is>
      </c>
      <c r="L2278" s="6">
        <f>HYPERLINK("https://fin.land.naver.com/articles/2651982067", "매물Link")</f>
        <v/>
      </c>
      <c r="M2278" s="6">
        <f>HYPERLINK("https://map.naver.com/p/search/장군면 대교리 478-3", "지도Link")</f>
        <v/>
      </c>
      <c r="N2278" s="6">
        <f>HYPERLINK("http://www.eum.go.kr/web/ar/lu/luLandDet.jsp?pnu=3611035023104780003&amp;isNoScr=script&amp;mode=search", "토지이음")</f>
        <v/>
      </c>
      <c r="O2278" s="3" t="inlineStr">
        <is>
          <t>세종마당</t>
        </is>
      </c>
      <c r="P2278" s="4" t="n">
        <v>2</v>
      </c>
      <c r="Q2278" s="4" t="n">
        <v>2467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대교리 479-3</t>
        </is>
      </c>
      <c r="B2279" s="3" t="inlineStr">
        <is>
          <t>농림지역</t>
        </is>
      </c>
      <c r="C2279" s="3" t="inlineStr">
        <is>
          <t>답</t>
        </is>
      </c>
      <c r="D2279" s="3" t="inlineStr">
        <is>
          <t>답</t>
        </is>
      </c>
      <c r="E2279" s="3" t="inlineStr">
        <is>
          <t>매매</t>
        </is>
      </c>
      <c r="F2279" s="4" t="n">
        <v>110000</v>
      </c>
      <c r="G2279" s="4" t="n">
        <v>3637</v>
      </c>
      <c r="H2279" s="4" t="n">
        <v>1100</v>
      </c>
      <c r="I2279" s="5" t="n">
        <v>100</v>
      </c>
      <c r="J2279" s="5" t="n">
        <v>43.2</v>
      </c>
      <c r="K2279" s="3" t="inlineStr">
        <is>
          <t>전원주택 및 투자, 대토, 다용도</t>
        </is>
      </c>
      <c r="L2279" s="6">
        <f>HYPERLINK("https://fin.land.naver.com/articles/2652276228", "매물Link")</f>
        <v/>
      </c>
      <c r="M2279" s="6">
        <f>HYPERLINK("https://map.naver.com/p/search/장군면 대교리 479-3", "지도Link")</f>
        <v/>
      </c>
      <c r="N2279" s="6">
        <f>HYPERLINK("http://www.eum.go.kr/web/ar/lu/luLandDet.jsp?pnu=3611035023104790003&amp;isNoScr=script&amp;mode=search", "토지이음")</f>
        <v/>
      </c>
      <c r="O2279" s="3" t="inlineStr">
        <is>
          <t>새땅</t>
        </is>
      </c>
      <c r="P2279" s="4" t="n">
        <v>1</v>
      </c>
      <c r="Q2279" s="4" t="n">
        <v>3637</v>
      </c>
      <c r="R2279" s="3" t="inlineStr">
        <is>
          <t>지정되지않음</t>
        </is>
      </c>
      <c r="S2279" s="3" t="inlineStr">
        <is>
          <t>답</t>
        </is>
      </c>
      <c r="T2279" s="3" t="inlineStr">
        <is>
          <t>평지</t>
        </is>
      </c>
      <c r="U2279" s="3" t="inlineStr">
        <is>
          <t>정방형</t>
        </is>
      </c>
      <c r="V2279" s="3" t="inlineStr">
        <is>
          <t>세로한면(가)</t>
        </is>
      </c>
    </row>
    <row r="2280">
      <c r="A2280" s="3" t="inlineStr">
        <is>
          <t>장군면 대교리 483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87000</v>
      </c>
      <c r="G2280" s="4" t="n">
        <v>1597</v>
      </c>
      <c r="H2280" s="4" t="n">
        <v>483</v>
      </c>
      <c r="I2280" s="5" t="n">
        <v>180.1</v>
      </c>
      <c r="J2280" s="5" t="n">
        <v>84.90000000000001</v>
      </c>
      <c r="K2280" s="3" t="inlineStr">
        <is>
          <t>대교리 계획관리지역 토지매매</t>
        </is>
      </c>
      <c r="L2280" s="6">
        <f>HYPERLINK("https://fin.land.naver.com/articles/2652026105", "매물Link")</f>
        <v/>
      </c>
      <c r="M2280" s="6">
        <f>HYPERLINK("https://map.naver.com/p/search/장군면 대교리 483", "지도Link")</f>
        <v/>
      </c>
      <c r="N2280" s="6">
        <f>HYPERLINK("http://www.eum.go.kr/web/ar/lu/luLandDet.jsp?pnu=3611035023104830000&amp;isNoScr=script&amp;mode=search", "토지이음")</f>
        <v/>
      </c>
      <c r="O2280" s="3" t="inlineStr">
        <is>
          <t>에이스</t>
        </is>
      </c>
      <c r="P2280" s="4" t="n">
        <v>1</v>
      </c>
      <c r="Q2280" s="4" t="n">
        <v>1597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507-1</t>
        </is>
      </c>
      <c r="B2281" s="3" t="inlineStr">
        <is>
          <t>계획관리지역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200000</v>
      </c>
      <c r="G2281" s="4" t="n">
        <v>3891</v>
      </c>
      <c r="H2281" s="4" t="n">
        <v>1177</v>
      </c>
      <c r="I2281" s="5" t="n">
        <v>169.9</v>
      </c>
      <c r="J2281" s="5" t="n">
        <v>91.40000000000001</v>
      </c>
      <c r="K2281" s="3" t="inlineStr">
        <is>
          <t>명성공인, 대교리 계획관리 추천 매물</t>
        </is>
      </c>
      <c r="L2281" s="6">
        <f>HYPERLINK("https://fin.land.naver.com/articles/2653841780", "매물Link")</f>
        <v/>
      </c>
      <c r="M2281" s="6">
        <f>HYPERLINK("https://map.naver.com/p/search/장군면 대교리 507-1", "지도Link")</f>
        <v/>
      </c>
      <c r="N2281" s="6">
        <f>HYPERLINK("http://www.eum.go.kr/web/ar/lu/luLandDet.jsp?pnu=3611035023105070001&amp;isNoScr=script&amp;mode=search", "토지이음")</f>
        <v/>
      </c>
      <c r="O2281" s="3" t="inlineStr">
        <is>
          <t>명성</t>
        </is>
      </c>
      <c r="P2281" s="4" t="n">
        <v>1</v>
      </c>
      <c r="Q2281" s="4" t="n">
        <v>1267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완경사</t>
        </is>
      </c>
      <c r="U2281" s="3" t="inlineStr">
        <is>
          <t>정방형</t>
        </is>
      </c>
      <c r="V2281" s="3" t="inlineStr">
        <is>
          <t>세로한면(가)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44000</v>
      </c>
      <c r="G2294" s="4" t="n">
        <v>714</v>
      </c>
      <c r="H2294" s="4" t="n">
        <v>216</v>
      </c>
      <c r="I2294" s="5" t="n">
        <v>203.7</v>
      </c>
      <c r="J2294" s="5" t="n">
        <v>157.2</v>
      </c>
      <c r="K2294" s="3" t="inlineStr">
        <is>
          <t>토목공사 완료된 전원주택단지,건축가능</t>
        </is>
      </c>
      <c r="L2294" s="6">
        <f>HYPERLINK("https://fin.land.naver.com/articles/2655032763",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세종대박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580</v>
      </c>
      <c r="H2295" s="4" t="n">
        <v>175</v>
      </c>
      <c r="I2295" s="5" t="n">
        <v>257.1</v>
      </c>
      <c r="J2295" s="5" t="n">
        <v>157.2</v>
      </c>
      <c r="K2295" s="3" t="inlineStr">
        <is>
          <t>초초급매,조망권뷰 최상,지대가 높은 전원주택지 즉시 건축가능</t>
        </is>
      </c>
      <c r="L2295" s="6">
        <f>HYPERLINK("https://fin.land.naver.com/articles/2650946434",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산34-1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62000</v>
      </c>
      <c r="G2301" s="4" t="n">
        <v>896</v>
      </c>
      <c r="H2301" s="4" t="n">
        <v>271</v>
      </c>
      <c r="I2301" s="5" t="n">
        <v>228.8</v>
      </c>
      <c r="J2301" s="5" t="n">
        <v>45.9</v>
      </c>
      <c r="K2301" s="3" t="inlineStr">
        <is>
          <t>해누리 전원마을 입구 계획관리지역 토지 급매</t>
        </is>
      </c>
      <c r="L2301" s="6">
        <f>HYPERLINK("https://fin.land.naver.com/articles/2652027011", "매물Link")</f>
        <v/>
      </c>
      <c r="M2301" s="6">
        <f>HYPERLINK("https://map.naver.com/p/search/장군면 대교리 산34-1", "지도Link")</f>
        <v/>
      </c>
      <c r="N2301" s="6">
        <f>HYPERLINK("http://www.eum.go.kr/web/ar/lu/luLandDet.jsp?pnu=3611035023200340001&amp;isNoScr=script&amp;mode=search", "토지이음")</f>
        <v/>
      </c>
      <c r="O2301" s="3" t="inlineStr">
        <is>
          <t>에이스</t>
        </is>
      </c>
      <c r="P2301" s="4" t="n">
        <v>1</v>
      </c>
      <c r="Q2301" s="4" t="n">
        <v>896</v>
      </c>
      <c r="R2301" s="3" t="inlineStr">
        <is>
          <t>지정되지않음</t>
        </is>
      </c>
      <c r="S2301" s="3" t="inlineStr">
        <is>
          <t>자연림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산46-45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676200</v>
      </c>
      <c r="G2302" s="4" t="n">
        <v>44707</v>
      </c>
      <c r="H2302" s="4" t="n">
        <v>13524</v>
      </c>
      <c r="I2302" s="5" t="n">
        <v>50</v>
      </c>
      <c r="J2302" s="5" t="n">
        <v>9.5</v>
      </c>
      <c r="K2302" s="3" t="inlineStr">
        <is>
          <t>김종서장군 테마공원 인근 낮은 야산 도로 접 위치 최상 전원주택지 등</t>
        </is>
      </c>
      <c r="L2302" s="6">
        <f>HYPERLINK("https://fin.land.naver.com/articles/2655405938", "매물Link")</f>
        <v/>
      </c>
      <c r="M2302" s="6">
        <f>HYPERLINK("https://map.naver.com/p/search/장군면 대교리 산46-45", "지도Link")</f>
        <v/>
      </c>
      <c r="N2302" s="6">
        <f>HYPERLINK("http://www.eum.go.kr/web/ar/lu/luLandDet.jsp?pnu=3611035023200460045&amp;isNoScr=script&amp;mode=search", "토지이음")</f>
        <v/>
      </c>
      <c r="O2302" s="3" t="inlineStr">
        <is>
          <t>세종시해냄공인</t>
        </is>
      </c>
      <c r="P2302" s="4" t="n">
        <v>1</v>
      </c>
      <c r="Q2302" s="4" t="n">
        <v>44707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맹지</t>
        </is>
      </c>
    </row>
    <row r="2303">
      <c r="A2303" s="3" t="inlineStr">
        <is>
          <t>장군면 도계리 149-3</t>
        </is>
      </c>
      <c r="B2303" s="3" t="inlineStr">
        <is>
          <t>계획관리지역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61800</v>
      </c>
      <c r="G2303" s="4" t="n">
        <v>551</v>
      </c>
      <c r="H2303" s="4" t="n">
        <v>167</v>
      </c>
      <c r="I2303" s="5" t="n">
        <v>370.1</v>
      </c>
      <c r="J2303" s="5" t="n">
        <v>225.3</v>
      </c>
      <c r="K2303" s="3" t="inlineStr">
        <is>
          <t>다가구 빌라 짓기에 좋은 토지입니다.</t>
        </is>
      </c>
      <c r="L2303" s="6">
        <f>HYPERLINK("https://fin.land.naver.com/articles/2652097927", "매물Link")</f>
        <v/>
      </c>
      <c r="M2303" s="6">
        <f>HYPERLINK("https://map.naver.com/p/search/장군면 도계리 149-3", "지도Link")</f>
        <v/>
      </c>
      <c r="N2303" s="6">
        <f>HYPERLINK("http://www.eum.go.kr/web/ar/lu/luLandDet.jsp?pnu=3611035021101490003&amp;isNoScr=script&amp;mode=search",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424</v>
      </c>
      <c r="R2303" s="3" t="inlineStr">
        <is>
          <t>지정되지않음</t>
        </is>
      </c>
      <c r="S2303" s="3" t="inlineStr">
        <is>
          <t>단독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도계리 156-13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100000</v>
      </c>
      <c r="G2304" s="4" t="n">
        <v>325</v>
      </c>
      <c r="H2304" s="4" t="n">
        <v>98</v>
      </c>
      <c r="I2304" s="5" t="n">
        <v>1020.4</v>
      </c>
      <c r="J2304" s="5" t="n">
        <v>425.5</v>
      </c>
      <c r="K2304" s="3" t="inlineStr">
        <is>
          <t>장군면 투자, 농협 앞, 월세수익</t>
        </is>
      </c>
      <c r="L2304" s="6">
        <f>HYPERLINK("https://fin.land.naver.com/articles/2654032900", "매물Link")</f>
        <v/>
      </c>
      <c r="M2304" s="6">
        <f>HYPERLINK("https://map.naver.com/p/search/장군면 도계리 156-13", "지도Link")</f>
        <v/>
      </c>
      <c r="N2304" s="6">
        <f>HYPERLINK("http://www.eum.go.kr/web/ar/lu/luLandDet.jsp?pnu=3611035021101560013&amp;isNoScr=script&amp;mode=search", "토지이음")</f>
        <v/>
      </c>
      <c r="O2304" s="3" t="inlineStr">
        <is>
          <t>한뜰금빛</t>
        </is>
      </c>
      <c r="P2304" s="4" t="n">
        <v>1</v>
      </c>
      <c r="Q2304" s="4" t="n">
        <v>325</v>
      </c>
      <c r="R2304" s="3" t="inlineStr">
        <is>
          <t>지정되지않음</t>
        </is>
      </c>
      <c r="S2304" s="3" t="inlineStr">
        <is>
          <t>주상용</t>
        </is>
      </c>
      <c r="T2304" s="3" t="inlineStr">
        <is>
          <t>평지</t>
        </is>
      </c>
      <c r="U2304" s="3" t="inlineStr">
        <is>
          <t>정방형</t>
        </is>
      </c>
      <c r="V2304" s="3" t="inlineStr">
        <is>
          <t>소로한면</t>
        </is>
      </c>
    </row>
    <row r="2305">
      <c r="A2305" s="3" t="inlineStr">
        <is>
          <t>장군면 도계리 170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70000</v>
      </c>
      <c r="G2305" s="4" t="n">
        <v>334</v>
      </c>
      <c r="H2305" s="4" t="n">
        <v>101</v>
      </c>
      <c r="I2305" s="5" t="n">
        <v>693.1</v>
      </c>
      <c r="J2305" s="5" t="n">
        <v>314.4</v>
      </c>
      <c r="K2305" s="3" t="inlineStr">
        <is>
          <t>장군면사무소 근처 중심상권이 형성된 지역으로 상가 건축에 최상</t>
        </is>
      </c>
      <c r="L2305" s="6">
        <f>HYPERLINK("https://fin.land.naver.com/articles/2652979992", "매물Link")</f>
        <v/>
      </c>
      <c r="M2305" s="6">
        <f>HYPERLINK("https://map.naver.com/p/search/장군면 도계리 170", "지도Link")</f>
        <v/>
      </c>
      <c r="N2305" s="6">
        <f>HYPERLINK("http://www.eum.go.kr/web/ar/lu/luLandDet.jsp?pnu=3611035021101700000&amp;isNoScr=script&amp;mode=search", "토지이음")</f>
        <v/>
      </c>
      <c r="O2305" s="3" t="inlineStr">
        <is>
          <t>온누리</t>
        </is>
      </c>
      <c r="P2305" s="4" t="n">
        <v>1</v>
      </c>
      <c r="Q2305" s="4" t="n">
        <v>334</v>
      </c>
      <c r="R2305" s="3" t="inlineStr">
        <is>
          <t>지정되지않음</t>
        </is>
      </c>
      <c r="S2305" s="3" t="inlineStr">
        <is>
          <t>단독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도계리 185</t>
        </is>
      </c>
      <c r="B2306" s="3" t="inlineStr">
        <is>
          <t>계획관리지역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2800000</v>
      </c>
      <c r="G2306" s="4" t="n">
        <v>32393</v>
      </c>
      <c r="H2306" s="4" t="n">
        <v>9799</v>
      </c>
      <c r="I2306" s="5" t="n">
        <v>285.7</v>
      </c>
      <c r="J2306" s="5" t="n">
        <v>104.7</v>
      </c>
      <c r="K2306" s="3" t="inlineStr">
        <is>
          <t>세종시 서세종IC, 제2경부고속도로 IC 인근으로 사옥, 물류창고 외</t>
        </is>
      </c>
      <c r="L2306" s="6">
        <f>HYPERLINK("https://fin.land.naver.com/articles/2651724328", "매물Link")</f>
        <v/>
      </c>
      <c r="M2306" s="6">
        <f>HYPERLINK("https://map.naver.com/p/search/장군면 도계리 185", "지도Link")</f>
        <v/>
      </c>
      <c r="N2306" s="6">
        <f>HYPERLINK("http://www.eum.go.kr/web/ar/lu/luLandDet.jsp?pnu=3611035021101850000&amp;isNoScr=script&amp;mode=search", "토지이음")</f>
        <v/>
      </c>
      <c r="O2306" s="3" t="inlineStr">
        <is>
          <t>세종태양</t>
        </is>
      </c>
      <c r="P2306" s="4" t="n">
        <v>1</v>
      </c>
      <c r="Q2306" s="4" t="n">
        <v>27950</v>
      </c>
      <c r="R2306" s="3" t="inlineStr">
        <is>
          <t>지정되지않음</t>
        </is>
      </c>
      <c r="S2306" s="3" t="inlineStr">
        <is>
          <t>과수원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도계리 188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280000</v>
      </c>
      <c r="G2307" s="4" t="n">
        <v>1864</v>
      </c>
      <c r="H2307" s="4" t="n">
        <v>564</v>
      </c>
      <c r="I2307" s="5" t="n">
        <v>496.5</v>
      </c>
      <c r="J2307" s="5" t="n">
        <v>132.6</v>
      </c>
      <c r="K2307" s="3" t="inlineStr">
        <is>
          <t>다목적 토지</t>
        </is>
      </c>
      <c r="L2307" s="6">
        <f>HYPERLINK("https://fin.land.naver.com/articles/2652695023", "매물Link")</f>
        <v/>
      </c>
      <c r="M2307" s="6">
        <f>HYPERLINK("https://map.naver.com/p/search/장군면 도계리 188", "지도Link")</f>
        <v/>
      </c>
      <c r="N2307" s="6">
        <f>HYPERLINK("http://www.eum.go.kr/web/ar/lu/luLandDet.jsp?pnu=3611035021101880000&amp;isNoScr=script&amp;mode=search", "토지이음")</f>
        <v/>
      </c>
      <c r="O2307" s="3" t="inlineStr">
        <is>
          <t>새땅</t>
        </is>
      </c>
      <c r="P2307" s="4" t="n">
        <v>1</v>
      </c>
      <c r="Q2307" s="4" t="n">
        <v>1864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평지</t>
        </is>
      </c>
      <c r="U2307" s="3" t="inlineStr">
        <is>
          <t>세로장방</t>
        </is>
      </c>
      <c r="V2307" s="3" t="inlineStr">
        <is>
          <t>세로한면(가)</t>
        </is>
      </c>
    </row>
    <row r="2308">
      <c r="A2308" s="3" t="inlineStr">
        <is>
          <t>장군면 도계리 201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85000</v>
      </c>
      <c r="G2308" s="4" t="n">
        <v>747</v>
      </c>
      <c r="H2308" s="4" t="n">
        <v>226</v>
      </c>
      <c r="I2308" s="5" t="n">
        <v>376.1</v>
      </c>
      <c r="J2308" s="5" t="n">
        <v>122.9</v>
      </c>
      <c r="K2308" s="3" t="inlineStr">
        <is>
          <t>장군면 요지에 위치 발전 가능성 매우 높은 땅 저렴한 가격</t>
        </is>
      </c>
      <c r="L2308" s="6">
        <f>HYPERLINK("https://fin.land.naver.com/articles/2653546097", "매물Link")</f>
        <v/>
      </c>
      <c r="M2308" s="6">
        <f>HYPERLINK("https://map.naver.com/p/search/장군면 도계리 201", "지도Link")</f>
        <v/>
      </c>
      <c r="N2308" s="6">
        <f>HYPERLINK("http://www.eum.go.kr/web/ar/lu/luLandDet.jsp?pnu=3611035021102010000&amp;isNoScr=script&amp;mode=search", "토지이음")</f>
        <v/>
      </c>
      <c r="O2308" s="3" t="inlineStr">
        <is>
          <t>세종공주원탑</t>
        </is>
      </c>
      <c r="P2308" s="4" t="n">
        <v>2</v>
      </c>
      <c r="Q2308" s="4" t="n">
        <v>747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가로장방</t>
        </is>
      </c>
      <c r="V2308" s="3" t="inlineStr">
        <is>
          <t>세로한면(가)</t>
        </is>
      </c>
    </row>
    <row r="2309">
      <c r="A2309" s="3" t="inlineStr">
        <is>
          <t>장군면 도계리 202-3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64200</v>
      </c>
      <c r="G2309" s="4" t="n">
        <v>393</v>
      </c>
      <c r="H2309" s="4" t="n">
        <v>119</v>
      </c>
      <c r="I2309" s="5" t="n">
        <v>539.5</v>
      </c>
      <c r="J2309" s="5" t="n">
        <v>239.9</v>
      </c>
      <c r="K2309" s="3" t="inlineStr">
        <is>
          <t>장군면사무소 근처 중심상권이 형성된 지역으로 상가 및 다가구주택지</t>
        </is>
      </c>
      <c r="L2309" s="6">
        <f>HYPERLINK("https://fin.land.naver.com/articles/2652999708", "매물Link")</f>
        <v/>
      </c>
      <c r="M2309" s="6">
        <f>HYPERLINK("https://map.naver.com/p/search/장군면 도계리 202-3", "지도Link")</f>
        <v/>
      </c>
      <c r="N2309" s="6">
        <f>HYPERLINK("http://www.eum.go.kr/web/ar/lu/luLandDet.jsp?pnu=3611035021102020003&amp;isNoScr=script&amp;mode=search", "토지이음")</f>
        <v/>
      </c>
      <c r="O2309" s="3" t="inlineStr">
        <is>
          <t>온누리</t>
        </is>
      </c>
      <c r="P2309" s="4" t="n">
        <v>2</v>
      </c>
      <c r="Q2309" s="4" t="n">
        <v>393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평지</t>
        </is>
      </c>
      <c r="U2309" s="3" t="inlineStr">
        <is>
          <t>사다리형</t>
        </is>
      </c>
      <c r="V2309" s="3" t="inlineStr">
        <is>
          <t>세로각지(가)</t>
        </is>
      </c>
    </row>
    <row r="2310">
      <c r="A2310" s="3" t="inlineStr">
        <is>
          <t>장군면 도계리 218-1</t>
        </is>
      </c>
      <c r="B2310" s="3" t="inlineStr">
        <is>
          <t>계획관리지역</t>
        </is>
      </c>
      <c r="C2310" s="3" t="inlineStr">
        <is>
          <t>전</t>
        </is>
      </c>
      <c r="D2310" s="3" t="inlineStr">
        <is>
          <t>전</t>
        </is>
      </c>
      <c r="E2310" s="3" t="inlineStr">
        <is>
          <t>매매</t>
        </is>
      </c>
      <c r="F2310" s="4" t="n">
        <v>23000</v>
      </c>
      <c r="G2310" s="4" t="n">
        <v>229</v>
      </c>
      <c r="H2310" s="4" t="n">
        <v>69</v>
      </c>
      <c r="I2310" s="5" t="n">
        <v>333.3</v>
      </c>
      <c r="J2310" s="5" t="n">
        <v>145</v>
      </c>
      <c r="K2310" s="3" t="inlineStr">
        <is>
          <t>지구단위계획구역의 도로와 현황상 도로에 접한 계획관리지역의 전입니다</t>
        </is>
      </c>
      <c r="L2310" s="6">
        <f>HYPERLINK("https://fin.land.naver.com/articles/2654777186", "매물Link")</f>
        <v/>
      </c>
      <c r="M2310" s="6">
        <f>HYPERLINK("https://map.naver.com/p/search/장군면 도계리 218-1", "지도Link")</f>
        <v/>
      </c>
      <c r="N2310" s="6">
        <f>HYPERLINK("http://www.eum.go.kr/web/ar/lu/luLandDet.jsp?pnu=3611035021102180001&amp;isNoScr=script&amp;mode=search", "토지이음")</f>
        <v/>
      </c>
      <c r="O2310" s="3" t="inlineStr">
        <is>
          <t>스마일세종</t>
        </is>
      </c>
      <c r="P2310" s="4" t="n">
        <v>1</v>
      </c>
      <c r="Q2310" s="4" t="n">
        <v>229</v>
      </c>
      <c r="R2310" s="3" t="inlineStr">
        <is>
          <t>지정되지않음</t>
        </is>
      </c>
      <c r="S2310" s="3" t="inlineStr">
        <is>
          <t>전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도계리 223-2</t>
        </is>
      </c>
      <c r="B2311" s="3" t="inlineStr">
        <is>
          <t>계획관리지역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40475</v>
      </c>
      <c r="G2311" s="4" t="n">
        <v>446</v>
      </c>
      <c r="H2311" s="4" t="n">
        <v>135</v>
      </c>
      <c r="I2311" s="5" t="n">
        <v>299.8</v>
      </c>
      <c r="J2311" s="5" t="n">
        <v>227.6</v>
      </c>
      <c r="K2311" s="3" t="inlineStr">
        <is>
          <t>도계리 주택 요충지</t>
        </is>
      </c>
      <c r="L2311" s="6">
        <f>HYPERLINK("https://fin.land.naver.com/articles/2654870379", "매물Link")</f>
        <v/>
      </c>
      <c r="M2311" s="6">
        <f>HYPERLINK("https://map.naver.com/p/search/장군면 도계리 223-2", "지도Link")</f>
        <v/>
      </c>
      <c r="N2311" s="6">
        <f>HYPERLINK("http://www.eum.go.kr/web/ar/lu/luLandDet.jsp?pnu=3611035021102230002&amp;isNoScr=script&amp;mode=search", "토지이음")</f>
        <v/>
      </c>
      <c r="O2311" s="3" t="inlineStr">
        <is>
          <t>원조대박</t>
        </is>
      </c>
      <c r="P2311" s="4" t="n">
        <v>1</v>
      </c>
      <c r="Q2311" s="4" t="n">
        <v>446</v>
      </c>
      <c r="R2311" s="3" t="inlineStr">
        <is>
          <t>지정되지않음</t>
        </is>
      </c>
      <c r="S2311" s="3" t="inlineStr">
        <is>
          <t>단독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226-2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43000</v>
      </c>
      <c r="G2312" s="4" t="n">
        <v>325</v>
      </c>
      <c r="H2312" s="4" t="n">
        <v>98</v>
      </c>
      <c r="I2312" s="5" t="n">
        <v>438.8</v>
      </c>
      <c r="J2312" s="5" t="n">
        <v>207.8</v>
      </c>
      <c r="K2312" s="3" t="inlineStr">
        <is>
          <t>정말 좋은 입지 주변 환경 좋습니다 미래 가치는 현장을 보시면 느껴집니다</t>
        </is>
      </c>
      <c r="L2312" s="6">
        <f>HYPERLINK("https://fin.land.naver.com/articles/2654209495", "매물Link")</f>
        <v/>
      </c>
      <c r="M2312" s="6">
        <f>HYPERLINK("https://map.naver.com/p/search/장군면 도계리 226-2", "지도Link")</f>
        <v/>
      </c>
      <c r="N2312" s="6">
        <f>HYPERLINK("http://www.eum.go.kr/web/ar/lu/luLandDet.jsp?pnu=3611035021102260002&amp;isNoScr=script&amp;mode=search", "토지이음")</f>
        <v/>
      </c>
      <c r="O2312" s="3" t="inlineStr">
        <is>
          <t>세종시삼성래미안</t>
        </is>
      </c>
      <c r="P2312" s="4" t="n">
        <v>2</v>
      </c>
      <c r="Q2312" s="4" t="n">
        <v>325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평지</t>
        </is>
      </c>
      <c r="U2312" s="3" t="inlineStr">
        <is>
          <t>정방형</t>
        </is>
      </c>
      <c r="V2312" s="3" t="inlineStr">
        <is>
          <t>세로한면(가)</t>
        </is>
      </c>
    </row>
    <row r="2313">
      <c r="A2313" s="3" t="inlineStr">
        <is>
          <t>장군면 도계리 282-32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33000</v>
      </c>
      <c r="G2313" s="4" t="n">
        <v>570</v>
      </c>
      <c r="H2313" s="4" t="n">
        <v>172</v>
      </c>
      <c r="I2313" s="5" t="n">
        <v>191.9</v>
      </c>
      <c r="J2313" s="5" t="n">
        <v>122.1</v>
      </c>
      <c r="K2313" s="3" t="inlineStr">
        <is>
          <t>전원주택용지로 좋음</t>
        </is>
      </c>
      <c r="L2313" s="6">
        <f>HYPERLINK("https://fin.land.naver.com/articles/2654330702", "매물Link")</f>
        <v/>
      </c>
      <c r="M2313" s="6">
        <f>HYPERLINK("https://map.naver.com/p/search/장군면 도계리 282-32", "지도Link")</f>
        <v/>
      </c>
      <c r="N2313" s="6">
        <f>HYPERLINK("http://www.eum.go.kr/web/ar/lu/luLandDet.jsp?pnu=3611035021102820032&amp;isNoScr=script&amp;mode=search", "토지이음")</f>
        <v/>
      </c>
      <c r="O2313" s="3" t="inlineStr">
        <is>
          <t>링크</t>
        </is>
      </c>
      <c r="P2313" s="4" t="n">
        <v>2</v>
      </c>
      <c r="Q2313" s="4" t="n">
        <v>570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급매,도계리  도로접 조망권 뷰 최상 파인빌리지  전원주택지 투자용 추천</t>
        </is>
      </c>
      <c r="L2314" s="6">
        <f>HYPERLINK("https://fin.land.naver.com/articles/2656213947",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고운맘</t>
        </is>
      </c>
      <c r="P2314" s="4" t="n">
        <v>1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29-4</t>
        </is>
      </c>
      <c r="B2315" s="3" t="inlineStr">
        <is>
          <t>계획관리지역</t>
        </is>
      </c>
      <c r="C2315" s="3" t="inlineStr">
        <is>
          <t>대</t>
        </is>
      </c>
      <c r="D2315" s="3" t="inlineStr">
        <is>
          <t>대</t>
        </is>
      </c>
      <c r="E2315" s="3" t="inlineStr">
        <is>
          <t>매매</t>
        </is>
      </c>
      <c r="F2315" s="4" t="n">
        <v>76000</v>
      </c>
      <c r="G2315" s="4" t="n">
        <v>743</v>
      </c>
      <c r="H2315" s="4" t="n">
        <v>225</v>
      </c>
      <c r="I2315" s="5" t="n">
        <v>337.8</v>
      </c>
      <c r="J2315" s="5" t="n">
        <v>182.8</v>
      </c>
      <c r="K2315" s="3" t="inlineStr">
        <is>
          <t>도계지구 12m계획 도로에 접하고 있고 계획관리 대지로 미래가치 최상</t>
        </is>
      </c>
      <c r="L2315" s="6">
        <f>HYPERLINK("https://fin.land.naver.com/articles/2655655599", "매물Link")</f>
        <v/>
      </c>
      <c r="M2315" s="6">
        <f>HYPERLINK("https://map.naver.com/p/search/장군면 도계리 29-4", "지도Link")</f>
        <v/>
      </c>
      <c r="N2315" s="6">
        <f>HYPERLINK("http://www.eum.go.kr/web/ar/lu/luLandDet.jsp?pnu=3611035021100290004&amp;isNoScr=script&amp;mode=search", "토지이음")</f>
        <v/>
      </c>
      <c r="O2315" s="3" t="inlineStr">
        <is>
          <t>온뜰</t>
        </is>
      </c>
      <c r="P2315" s="4" t="n">
        <v>1</v>
      </c>
      <c r="Q2315" s="4" t="n">
        <v>743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도계리 326-1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26080</v>
      </c>
      <c r="G2316" s="4" t="n">
        <v>1077</v>
      </c>
      <c r="H2316" s="4" t="n">
        <v>326</v>
      </c>
      <c r="I2316" s="5" t="n">
        <v>80</v>
      </c>
      <c r="J2316" s="5" t="n">
        <v>51.5</v>
      </c>
      <c r="K2316" s="3" t="inlineStr">
        <is>
          <t>도계리 투자 위치 좋은 땅</t>
        </is>
      </c>
      <c r="L2316" s="6">
        <f>HYPERLINK("https://fin.land.naver.com/articles/2653496843", "매물Link")</f>
        <v/>
      </c>
      <c r="M2316" s="6">
        <f>HYPERLINK("https://map.naver.com/p/search/장군면 도계리 326-1", "지도Link")</f>
        <v/>
      </c>
      <c r="N2316" s="6">
        <f>HYPERLINK("http://www.eum.go.kr/web/ar/lu/luLandDet.jsp?pnu=3611035021103260001&amp;isNoScr=script&amp;mode=search", "토지이음")</f>
        <v/>
      </c>
      <c r="O2316" s="3" t="inlineStr">
        <is>
          <t>상상</t>
        </is>
      </c>
      <c r="P2316" s="4" t="n">
        <v>1</v>
      </c>
      <c r="Q2316" s="4" t="n">
        <v>1077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도계리 346-1</t>
        </is>
      </c>
      <c r="B2317" s="3" t="inlineStr">
        <is>
          <t>농림지역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62000</v>
      </c>
      <c r="G2317" s="4" t="n">
        <v>2922</v>
      </c>
      <c r="H2317" s="4" t="n">
        <v>884</v>
      </c>
      <c r="I2317" s="5" t="n">
        <v>70.09999999999999</v>
      </c>
      <c r="J2317" s="5" t="n">
        <v>53.5</v>
      </c>
      <c r="K2317" s="3" t="inlineStr">
        <is>
          <t>세종 장군면 도계리 영농확대 추천 농지</t>
        </is>
      </c>
      <c r="L2317" s="6">
        <f>HYPERLINK("https://fin.land.naver.com/articles/2655207833", "매물Link")</f>
        <v/>
      </c>
      <c r="M2317" s="6">
        <f>HYPERLINK("https://map.naver.com/p/search/장군면 도계리 346-1", "지도Link")</f>
        <v/>
      </c>
      <c r="N2317" s="6">
        <f>HYPERLINK("http://www.eum.go.kr/web/ar/lu/luLandDet.jsp?pnu=3611035021103460001&amp;isNoScr=script&amp;mode=search", "토지이음")</f>
        <v/>
      </c>
      <c r="O2317" s="3" t="inlineStr">
        <is>
          <t>세종몽땅</t>
        </is>
      </c>
      <c r="P2317" s="4" t="n">
        <v>1</v>
      </c>
      <c r="Q2317" s="4" t="n">
        <v>2922</v>
      </c>
      <c r="R2317" s="3" t="inlineStr">
        <is>
          <t>보전관리지역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세로장방</t>
        </is>
      </c>
      <c r="V2317" s="3" t="inlineStr">
        <is>
          <t>세로각지(가)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61873</v>
      </c>
      <c r="G2318" s="4" t="n">
        <v>2922</v>
      </c>
      <c r="H2318" s="4" t="n">
        <v>884</v>
      </c>
      <c r="I2318" s="5" t="n">
        <v>70</v>
      </c>
      <c r="J2318" s="5" t="n">
        <v>53.5</v>
      </c>
      <c r="K2318" s="3" t="inlineStr">
        <is>
          <t>세종시 저렴한 농지</t>
        </is>
      </c>
      <c r="L2318" s="6">
        <f>HYPERLINK("https://fin.land.naver.com/articles/2653497070",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상상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349-2</t>
        </is>
      </c>
      <c r="B2319" s="3" t="inlineStr">
        <is>
          <t>보전관리지역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33000</v>
      </c>
      <c r="G2319" s="4" t="n">
        <v>1087</v>
      </c>
      <c r="H2319" s="4" t="n">
        <v>329</v>
      </c>
      <c r="I2319" s="5" t="n">
        <v>100.3</v>
      </c>
      <c r="J2319" s="5" t="n">
        <v>43.6</v>
      </c>
      <c r="K2319" s="3" t="inlineStr">
        <is>
          <t>급매 연계필지와함께가능</t>
        </is>
      </c>
      <c r="L2319" s="6">
        <f>HYPERLINK("https://fin.land.naver.com/articles/2651373967", "매물Link")</f>
        <v/>
      </c>
      <c r="M2319" s="6">
        <f>HYPERLINK("https://map.naver.com/p/search/장군면 도계리 349-2", "지도Link")</f>
        <v/>
      </c>
      <c r="N2319" s="6">
        <f>HYPERLINK("http://www.eum.go.kr/web/ar/lu/luLandDet.jsp?pnu=3611035021103490002&amp;isNoScr=script&amp;mode=search", "토지이음")</f>
        <v/>
      </c>
      <c r="O2319" s="3" t="inlineStr">
        <is>
          <t>세종중흥S클래스</t>
        </is>
      </c>
      <c r="P2319" s="4" t="n">
        <v>1</v>
      </c>
      <c r="Q2319" s="4" t="n">
        <v>1087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맹지</t>
        </is>
      </c>
    </row>
    <row r="2320">
      <c r="A2320" s="3" t="inlineStr">
        <is>
          <t>장군면 도계리 349-3</t>
        </is>
      </c>
      <c r="B2320" s="3" t="inlineStr">
        <is>
          <t>생산관리지역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76000</v>
      </c>
      <c r="G2320" s="4" t="n">
        <v>2486</v>
      </c>
      <c r="H2320" s="4" t="n">
        <v>752</v>
      </c>
      <c r="I2320" s="5" t="n">
        <v>101.1</v>
      </c>
      <c r="J2320" s="5" t="n">
        <v>57.2</v>
      </c>
      <c r="K2320" s="3" t="inlineStr">
        <is>
          <t>급매 세종포천고속도로인접 토지</t>
        </is>
      </c>
      <c r="L2320" s="6">
        <f>HYPERLINK("https://fin.land.naver.com/articles/2651373900", "매물Link")</f>
        <v/>
      </c>
      <c r="M2320" s="6">
        <f>HYPERLINK("https://map.naver.com/p/search/장군면 도계리 349-3", "지도Link")</f>
        <v/>
      </c>
      <c r="N2320" s="6">
        <f>HYPERLINK("http://www.eum.go.kr/web/ar/lu/luLandDet.jsp?pnu=3611035021103490003&amp;isNoScr=script&amp;mode=search",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2486</v>
      </c>
      <c r="R2320" s="3" t="inlineStr">
        <is>
          <t>보전관리지역</t>
        </is>
      </c>
      <c r="S2320" s="3" t="inlineStr">
        <is>
          <t>답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도계리 351-6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52500</v>
      </c>
      <c r="G2321" s="4" t="n">
        <v>1157</v>
      </c>
      <c r="H2321" s="4" t="n">
        <v>350</v>
      </c>
      <c r="I2321" s="5" t="n">
        <v>150</v>
      </c>
      <c r="J2321" s="5" t="n">
        <v>37.9</v>
      </c>
      <c r="K2321" s="3" t="inlineStr">
        <is>
          <t>현임야상태, 토목공상완료후인도</t>
        </is>
      </c>
      <c r="L2321" s="6">
        <f>HYPERLINK("https://fin.land.naver.com/articles/2652729514", "매물Link")</f>
        <v/>
      </c>
      <c r="M2321" s="6">
        <f>HYPERLINK("https://map.naver.com/p/search/장군면 도계리 351-6", "지도Link")</f>
        <v/>
      </c>
      <c r="N2321" s="6">
        <f>HYPERLINK("http://www.eum.go.kr/web/ar/lu/luLandDet.jsp?pnu=3611035021103510006&amp;isNoScr=script&amp;mode=search", "토지이음")</f>
        <v/>
      </c>
      <c r="O2321" s="3" t="inlineStr">
        <is>
          <t>대박</t>
        </is>
      </c>
      <c r="P2321" s="4" t="n">
        <v>1</v>
      </c>
      <c r="Q2321" s="4" t="n">
        <v>1157</v>
      </c>
      <c r="R2321" s="3" t="inlineStr">
        <is>
          <t>지정되지않음</t>
        </is>
      </c>
      <c r="S2321" s="3" t="inlineStr">
        <is>
          <t>자연림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355-18</t>
        </is>
      </c>
      <c r="B2322" s="3" t="inlineStr">
        <is>
          <t>생산관리지역</t>
        </is>
      </c>
      <c r="C2322" s="3" t="inlineStr">
        <is>
          <t>과수원</t>
        </is>
      </c>
      <c r="D2322" s="3" t="inlineStr">
        <is>
          <t>과수원</t>
        </is>
      </c>
      <c r="E2322" s="3" t="inlineStr">
        <is>
          <t>매매</t>
        </is>
      </c>
      <c r="F2322" s="4" t="n">
        <v>101500</v>
      </c>
      <c r="G2322" s="4" t="n">
        <v>990</v>
      </c>
      <c r="H2322" s="4" t="n">
        <v>299</v>
      </c>
      <c r="I2322" s="5" t="n">
        <v>339.5</v>
      </c>
      <c r="J2322" s="5" t="n">
        <v>57.6</v>
      </c>
      <c r="K2322" s="3" t="inlineStr">
        <is>
          <t>ktx세종역세종ic예정지인근,접근성좋음.세종청사20분.21필지가능</t>
        </is>
      </c>
      <c r="L2322" s="6">
        <f>HYPERLINK("https://fin.land.naver.com/articles/2651737390", "매물Link")</f>
        <v/>
      </c>
      <c r="M2322" s="6">
        <f>HYPERLINK("https://map.naver.com/p/search/장군면 도계리 355-18", "지도Link")</f>
        <v/>
      </c>
      <c r="N2322" s="6">
        <f>HYPERLINK("http://www.eum.go.kr/web/ar/lu/luLandDet.jsp?pnu=3611035021103550018&amp;isNoScr=script&amp;mode=search", "토지이음")</f>
        <v/>
      </c>
      <c r="O2322" s="3" t="inlineStr">
        <is>
          <t>온담</t>
        </is>
      </c>
      <c r="P2322" s="4" t="n">
        <v>1</v>
      </c>
      <c r="Q2322" s="4" t="n">
        <v>990</v>
      </c>
      <c r="R2322" s="3" t="inlineStr">
        <is>
          <t>지정되지않음</t>
        </is>
      </c>
      <c r="S2322" s="3" t="inlineStr">
        <is>
          <t>과수원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391-5</t>
        </is>
      </c>
      <c r="B2323" s="3" t="inlineStr">
        <is>
          <t>농림지역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99600</v>
      </c>
      <c r="G2323" s="4" t="n">
        <v>2196</v>
      </c>
      <c r="H2323" s="4" t="n">
        <v>664</v>
      </c>
      <c r="I2323" s="5" t="n">
        <v>150</v>
      </c>
      <c r="J2323" s="5" t="n">
        <v>36.4</v>
      </c>
      <c r="K2323" s="3" t="inlineStr">
        <is>
          <t>nan</t>
        </is>
      </c>
      <c r="L2323" s="6">
        <f>HYPERLINK("https://fin.land.naver.com/articles/2652692144", "매물Link")</f>
        <v/>
      </c>
      <c r="M2323" s="6">
        <f>HYPERLINK("https://map.naver.com/p/search/장군면 도계리 391-5", "지도Link")</f>
        <v/>
      </c>
      <c r="N2323" s="6">
        <f>HYPERLINK("http://www.eum.go.kr/web/ar/lu/luLandDet.jsp?pnu=3611035021103910005&amp;isNoScr=script&amp;mode=search", "토지이음")</f>
        <v/>
      </c>
      <c r="O2323" s="3" t="inlineStr">
        <is>
          <t>새땅</t>
        </is>
      </c>
      <c r="P2323" s="4" t="n">
        <v>1</v>
      </c>
      <c r="Q2323" s="4" t="n">
        <v>1866.8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세로장방</t>
        </is>
      </c>
      <c r="V2323" s="3" t="inlineStr">
        <is>
          <t>세로각지(가)</t>
        </is>
      </c>
    </row>
    <row r="2324">
      <c r="A2324" s="3" t="inlineStr">
        <is>
          <t>장군면 도계리 44-5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68000</v>
      </c>
      <c r="G2324" s="4" t="n">
        <v>366</v>
      </c>
      <c r="H2324" s="4" t="n">
        <v>111</v>
      </c>
      <c r="I2324" s="5" t="n">
        <v>612.6</v>
      </c>
      <c r="J2324" s="5" t="n">
        <v>230.4</v>
      </c>
      <c r="K2324" s="3" t="inlineStr">
        <is>
          <t>상가. 카페 건축 최적</t>
        </is>
      </c>
      <c r="L2324" s="6">
        <f>HYPERLINK("https://fin.land.naver.com/articles/2652688315", "매물Link")</f>
        <v/>
      </c>
      <c r="M2324" s="6">
        <f>HYPERLINK("https://map.naver.com/p/search/장군면 도계리 44-5", "지도Link")</f>
        <v/>
      </c>
      <c r="N2324" s="6">
        <f>HYPERLINK("http://www.eum.go.kr/web/ar/lu/luLandDet.jsp?pnu=3611035021100440005&amp;isNoScr=script&amp;mode=search",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366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도계리 85-3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108780</v>
      </c>
      <c r="G2325" s="4" t="n">
        <v>1943</v>
      </c>
      <c r="H2325" s="4" t="n">
        <v>588</v>
      </c>
      <c r="I2325" s="5" t="n">
        <v>185</v>
      </c>
      <c r="J2325" s="5" t="n">
        <v>65.90000000000001</v>
      </c>
      <c r="K2325" s="3" t="inlineStr">
        <is>
          <t>nan</t>
        </is>
      </c>
      <c r="L2325" s="6">
        <f>HYPERLINK("https://fin.land.naver.com/articles/2655278158", "매물Link")</f>
        <v/>
      </c>
      <c r="M2325" s="6">
        <f>HYPERLINK("https://map.naver.com/p/search/장군면 도계리 85-3", "지도Link")</f>
        <v/>
      </c>
      <c r="N2325" s="6">
        <f>HYPERLINK("http://www.eum.go.kr/web/ar/lu/luLandDet.jsp?pnu=3611035021100850003&amp;isNoScr=script&amp;mode=search", "토지이음")</f>
        <v/>
      </c>
      <c r="O2325" s="3" t="inlineStr">
        <is>
          <t>강변</t>
        </is>
      </c>
      <c r="P2325" s="4" t="n">
        <v>1</v>
      </c>
      <c r="Q2325" s="4" t="n">
        <v>1945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90-1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75000</v>
      </c>
      <c r="G2326" s="4" t="n">
        <v>331</v>
      </c>
      <c r="H2326" s="4" t="n">
        <v>100</v>
      </c>
      <c r="I2326" s="5" t="n">
        <v>750</v>
      </c>
      <c r="J2326" s="5" t="n">
        <v>235.6</v>
      </c>
      <c r="K2326" s="3" t="inlineStr">
        <is>
          <t>장군면 서부농협 근접한 2차선 통행량 많은 도로옆 토지</t>
        </is>
      </c>
      <c r="L2326" s="6">
        <f>HYPERLINK("https://fin.land.naver.com/articles/2654426933", "매물Link")</f>
        <v/>
      </c>
      <c r="M2326" s="6">
        <f>HYPERLINK("https://map.naver.com/p/search/장군면 도계리 90-1", "지도Link")</f>
        <v/>
      </c>
      <c r="N2326" s="6">
        <f>HYPERLINK("http://www.eum.go.kr/web/ar/lu/luLandDet.jsp?pnu=3611035021100900001&amp;isNoScr=script&amp;mode=search", "토지이음")</f>
        <v/>
      </c>
      <c r="O2326" s="3" t="inlineStr">
        <is>
          <t>발품</t>
        </is>
      </c>
      <c r="P2326" s="4" t="n">
        <v>3</v>
      </c>
      <c r="Q2326" s="4" t="n">
        <v>331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평지</t>
        </is>
      </c>
      <c r="U2326" s="3" t="inlineStr">
        <is>
          <t>부정형</t>
        </is>
      </c>
      <c r="V2326" s="3" t="inlineStr">
        <is>
          <t>소로한면</t>
        </is>
      </c>
    </row>
    <row r="2327">
      <c r="A2327" s="3" t="inlineStr">
        <is>
          <t>장군면 도계리 90-1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75000</v>
      </c>
      <c r="G2327" s="4" t="n">
        <v>331</v>
      </c>
      <c r="H2327" s="4" t="n">
        <v>100</v>
      </c>
      <c r="I2327" s="5" t="n">
        <v>750</v>
      </c>
      <c r="J2327" s="5" t="n">
        <v>235.6</v>
      </c>
      <c r="K2327" s="3" t="inlineStr">
        <is>
          <t>지구단위계획구역 2차선도로 계획관리지역 알토란토지,다용도사용가능</t>
        </is>
      </c>
      <c r="L2327" s="6">
        <f>HYPERLINK("https://fin.land.naver.com/articles/2655304107", "매물Link")</f>
        <v/>
      </c>
      <c r="M2327" s="6">
        <f>HYPERLINK("https://map.naver.com/p/search/장군면 도계리 90-1", "지도Link")</f>
        <v/>
      </c>
      <c r="N2327" s="6">
        <f>HYPERLINK("http://www.eum.go.kr/web/ar/lu/luLandDet.jsp?pnu=3611035021100900001&amp;isNoScr=script&amp;mode=search", "토지이음")</f>
        <v/>
      </c>
      <c r="O2327" s="3" t="inlineStr">
        <is>
          <t>고운맘</t>
        </is>
      </c>
      <c r="P2327" s="4" t="n">
        <v>1</v>
      </c>
      <c r="Q2327" s="4" t="n">
        <v>331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부정형</t>
        </is>
      </c>
      <c r="V2327" s="3" t="inlineStr">
        <is>
          <t>소로한면</t>
        </is>
      </c>
    </row>
    <row r="2328">
      <c r="A2328" s="3" t="inlineStr">
        <is>
          <t>장군면 도계리 90-8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230000</v>
      </c>
      <c r="G2328" s="4" t="n">
        <v>1086</v>
      </c>
      <c r="H2328" s="4" t="n">
        <v>329</v>
      </c>
      <c r="I2328" s="5" t="n">
        <v>699.1</v>
      </c>
      <c r="J2328" s="5" t="n">
        <v>230.3</v>
      </c>
      <c r="K2328" s="3" t="inlineStr">
        <is>
          <t>세종시 최고의 투자처,대형 커피숍,대형 음식점 ,회사사옥건축 추천</t>
        </is>
      </c>
      <c r="L2328" s="6">
        <f>HYPERLINK("https://fin.land.naver.com/articles/2653886310", "매물Link")</f>
        <v/>
      </c>
      <c r="M2328" s="6">
        <f>HYPERLINK("https://map.naver.com/p/search/장군면 도계리 90-8", "지도Link")</f>
        <v/>
      </c>
      <c r="N2328" s="6">
        <f>HYPERLINK("http://www.eum.go.kr/web/ar/lu/luLandDet.jsp?pnu=3611035021100900008&amp;isNoScr=script&amp;mode=search", "토지이음")</f>
        <v/>
      </c>
      <c r="O2328" s="3" t="inlineStr">
        <is>
          <t>세종공주제일</t>
        </is>
      </c>
      <c r="P2328" s="4" t="n">
        <v>1</v>
      </c>
      <c r="Q2328" s="4" t="n">
        <v>166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산2-9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99000</v>
      </c>
      <c r="G2329" s="4" t="n">
        <v>4959</v>
      </c>
      <c r="H2329" s="4" t="n">
        <v>1500</v>
      </c>
      <c r="I2329" s="5" t="n">
        <v>66</v>
      </c>
      <c r="J2329" s="5" t="n">
        <v>37.3</v>
      </c>
      <c r="K2329" s="3" t="inlineStr">
        <is>
          <t>도로접한 임야</t>
        </is>
      </c>
      <c r="L2329" s="6">
        <f>HYPERLINK("https://fin.land.naver.com/articles/2655058756", "매물Link")</f>
        <v/>
      </c>
      <c r="M2329" s="6">
        <f>HYPERLINK("https://map.naver.com/p/search/장군면 도계리 산2-9", "지도Link")</f>
        <v/>
      </c>
      <c r="N2329" s="6">
        <f>HYPERLINK("http://www.eum.go.kr/web/ar/lu/luLandDet.jsp?pnu=3611035021200020009&amp;isNoScr=script&amp;mode=search", "토지이음")</f>
        <v/>
      </c>
      <c r="O2329" s="3" t="inlineStr">
        <is>
          <t>세종대박</t>
        </is>
      </c>
      <c r="P2329" s="4" t="n">
        <v>2</v>
      </c>
      <c r="Q2329" s="4" t="n">
        <v>4959</v>
      </c>
      <c r="R2329" s="3" t="inlineStr">
        <is>
          <t>지정되지않음</t>
        </is>
      </c>
      <c r="S2329" s="3" t="inlineStr">
        <is>
          <t>자연림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봉안리 12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400000</v>
      </c>
      <c r="G2330" s="4" t="n">
        <v>6608</v>
      </c>
      <c r="H2330" s="4" t="n">
        <v>1999</v>
      </c>
      <c r="I2330" s="5" t="n">
        <v>200.1</v>
      </c>
      <c r="J2330" s="5" t="n">
        <v>137.5</v>
      </c>
      <c r="K2330" s="3" t="inlineStr">
        <is>
          <t>계획관리토지</t>
        </is>
      </c>
      <c r="L2330" s="6">
        <f>HYPERLINK("https://fin.land.naver.com/articles/2651704292", "매물Link")</f>
        <v/>
      </c>
      <c r="M2330" s="6">
        <f>HYPERLINK("https://map.naver.com/p/search/장군면 봉안리 12", "지도Link")</f>
        <v/>
      </c>
      <c r="N2330" s="6">
        <f>HYPERLINK("http://www.eum.go.kr/web/ar/lu/luLandDet.jsp?pnu=3611035024100120000&amp;isNoScr=script&amp;mode=search", "토지이음")</f>
        <v/>
      </c>
      <c r="O2330" s="3" t="inlineStr">
        <is>
          <t>형제</t>
        </is>
      </c>
      <c r="P2330" s="4" t="n">
        <v>1</v>
      </c>
      <c r="Q2330" s="4" t="n">
        <v>6608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완경사</t>
        </is>
      </c>
      <c r="U2330" s="3" t="inlineStr">
        <is>
          <t>부정형</t>
        </is>
      </c>
      <c r="V2330" s="3" t="inlineStr">
        <is>
          <t>세로한면(가)</t>
        </is>
      </c>
    </row>
    <row r="2331">
      <c r="A2331" s="3" t="inlineStr">
        <is>
          <t>장군면 봉안리 16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240000</v>
      </c>
      <c r="G2331" s="4" t="n">
        <v>2631</v>
      </c>
      <c r="H2331" s="4" t="n">
        <v>796</v>
      </c>
      <c r="I2331" s="5" t="n">
        <v>301.5</v>
      </c>
      <c r="J2331" s="5" t="n">
        <v>140.4</v>
      </c>
      <c r="K2331" s="3" t="inlineStr">
        <is>
          <t>nan</t>
        </is>
      </c>
      <c r="L2331" s="6">
        <f>HYPERLINK("https://fin.land.naver.com/articles/2652613829", "매물Link")</f>
        <v/>
      </c>
      <c r="M2331" s="6">
        <f>HYPERLINK("https://map.naver.com/p/search/장군면 봉안리 16", "지도Link")</f>
        <v/>
      </c>
      <c r="N2331" s="6">
        <f>HYPERLINK("http://www.eum.go.kr/web/ar/lu/luLandDet.jsp?pnu=3611035024100160000&amp;isNoScr=script&amp;mode=search", "토지이음")</f>
        <v/>
      </c>
      <c r="O2331" s="3" t="inlineStr">
        <is>
          <t>세종</t>
        </is>
      </c>
      <c r="P2331" s="4" t="n">
        <v>1</v>
      </c>
      <c r="Q2331" s="4" t="n">
        <v>2631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198</t>
        </is>
      </c>
      <c r="B2332" s="3" t="inlineStr">
        <is>
          <t>계획관리지역</t>
        </is>
      </c>
      <c r="C2332" s="3" t="inlineStr">
        <is>
          <t>잡종지</t>
        </is>
      </c>
      <c r="D2332" s="3" t="inlineStr">
        <is>
          <t>잡종지</t>
        </is>
      </c>
      <c r="E2332" s="3" t="inlineStr">
        <is>
          <t>매매</t>
        </is>
      </c>
      <c r="F2332" s="4" t="n">
        <v>750000</v>
      </c>
      <c r="G2332" s="4" t="n">
        <v>1886</v>
      </c>
      <c r="H2332" s="4" t="n">
        <v>571</v>
      </c>
      <c r="I2332" s="5" t="n">
        <v>1313.5</v>
      </c>
      <c r="J2332" s="5" t="n">
        <v>231.9</v>
      </c>
      <c r="K2332" s="3" t="inlineStr">
        <is>
          <t>nan</t>
        </is>
      </c>
      <c r="L2332" s="6">
        <f>HYPERLINK("https://fin.land.naver.com/articles/2654182137", "매물Link")</f>
        <v/>
      </c>
      <c r="M2332" s="6">
        <f>HYPERLINK("https://map.naver.com/p/search/장군면 봉안리 198", "지도Link")</f>
        <v/>
      </c>
      <c r="N2332" s="6">
        <f>HYPERLINK("http://www.eum.go.kr/web/ar/lu/luLandDet.jsp?pnu=3611035024101980000&amp;isNoScr=script&amp;mode=search", "토지이음")</f>
        <v/>
      </c>
      <c r="O2332" s="3" t="inlineStr">
        <is>
          <t>다온</t>
        </is>
      </c>
      <c r="P2332" s="4" t="n">
        <v>1</v>
      </c>
      <c r="Q2332" s="4" t="n">
        <v>901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201-41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60000</v>
      </c>
      <c r="G2333" s="4" t="n">
        <v>567</v>
      </c>
      <c r="H2333" s="4" t="n">
        <v>172</v>
      </c>
      <c r="I2333" s="5" t="n">
        <v>348.8</v>
      </c>
      <c r="J2333" s="5" t="n">
        <v>271.6</v>
      </c>
      <c r="K2333" s="3" t="inlineStr">
        <is>
          <t>nan</t>
        </is>
      </c>
      <c r="L2333" s="6">
        <f>HYPERLINK("https://fin.land.naver.com/articles/2652795048", "매물Link")</f>
        <v/>
      </c>
      <c r="M2333" s="6">
        <f>HYPERLINK("https://map.naver.com/p/search/장군면 봉안리 201-41", "지도Link")</f>
        <v/>
      </c>
      <c r="N2333" s="6">
        <f>HYPERLINK("http://www.eum.go.kr/web/ar/lu/luLandDet.jsp?pnu=3611035024102010041&amp;isNoScr=script&amp;mode=search", "토지이음")</f>
        <v/>
      </c>
      <c r="O2333" s="3" t="inlineStr">
        <is>
          <t>강아지풀</t>
        </is>
      </c>
      <c r="P2333" s="4" t="n">
        <v>2</v>
      </c>
      <c r="Q2333" s="4" t="n">
        <v>567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201-41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70000</v>
      </c>
      <c r="G2334" s="4" t="n">
        <v>567</v>
      </c>
      <c r="H2334" s="4" t="n">
        <v>172</v>
      </c>
      <c r="I2334" s="5" t="n">
        <v>407</v>
      </c>
      <c r="J2334" s="5" t="n">
        <v>271.6</v>
      </c>
      <c r="K2334" s="3" t="inlineStr">
        <is>
          <t>초급매,계획관리,단독주택,사무실,카페,식당,물류택배창고 등 다목적용도가능</t>
        </is>
      </c>
      <c r="L2334" s="6">
        <f>HYPERLINK("https://fin.land.naver.com/articles/2653222306", "매물Link")</f>
        <v/>
      </c>
      <c r="M2334" s="6">
        <f>HYPERLINK("https://map.naver.com/p/search/장군면 봉안리 201-41", "지도Link")</f>
        <v/>
      </c>
      <c r="N2334" s="6">
        <f>HYPERLINK("http://www.eum.go.kr/web/ar/lu/luLandDet.jsp?pnu=3611035024102010041&amp;isNoScr=script&amp;mode=search",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567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201-60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203167</v>
      </c>
      <c r="G2335" s="4" t="n">
        <v>1429</v>
      </c>
      <c r="H2335" s="4" t="n">
        <v>432</v>
      </c>
      <c r="I2335" s="5" t="n">
        <v>470.3</v>
      </c>
      <c r="J2335" s="5" t="n">
        <v>97.3</v>
      </c>
      <c r="K2335" s="3" t="inlineStr">
        <is>
          <t>급매,신도시 최단거리푸드타운 접, 건축인허가 득한 토지,조율가</t>
        </is>
      </c>
      <c r="L2335" s="6">
        <f>HYPERLINK("https://fin.land.naver.com/articles/2654553694", "매물Link")</f>
        <v/>
      </c>
      <c r="M2335" s="6">
        <f>HYPERLINK("https://map.naver.com/p/search/장군면 봉안리 201-60", "지도Link")</f>
        <v/>
      </c>
      <c r="N2335" s="6">
        <f>HYPERLINK("http://www.eum.go.kr/web/ar/lu/luLandDet.jsp?pnu=3611035024102010060&amp;isNoScr=script&amp;mode=search", "토지이음")</f>
        <v/>
      </c>
      <c r="O2335" s="3" t="inlineStr">
        <is>
          <t>바로그</t>
        </is>
      </c>
      <c r="P2335" s="4" t="n">
        <v>1</v>
      </c>
      <c r="Q2335" s="4" t="n">
        <v>735</v>
      </c>
      <c r="R2335" s="3" t="inlineStr">
        <is>
          <t>지정되지않음</t>
        </is>
      </c>
      <c r="S2335" s="3" t="inlineStr">
        <is>
          <t>자연림</t>
        </is>
      </c>
      <c r="T2335" s="3" t="inlineStr">
        <is>
          <t>완경사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봉안리 202-1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90400</v>
      </c>
      <c r="G2336" s="4" t="n">
        <v>767</v>
      </c>
      <c r="H2336" s="4" t="n">
        <v>232</v>
      </c>
      <c r="I2336" s="5" t="n">
        <v>389.7</v>
      </c>
      <c r="J2336" s="5" t="n">
        <v>119.4</v>
      </c>
      <c r="K2336" s="3" t="inlineStr">
        <is>
          <t>가격조율 가능,세종시 근접, 다세대 주택 부지,전원주택부지 추천</t>
        </is>
      </c>
      <c r="L2336" s="6">
        <f>HYPERLINK("https://fin.land.naver.com/articles/2654854230", "매물Link")</f>
        <v/>
      </c>
      <c r="M2336" s="6">
        <f>HYPERLINK("https://map.naver.com/p/search/장군면 봉안리 202-1", "지도Link")</f>
        <v/>
      </c>
      <c r="N2336" s="6">
        <f>HYPERLINK("http://www.eum.go.kr/web/ar/lu/luLandDet.jsp?pnu=3611035024102020001&amp;isNoScr=script&amp;mode=search", "토지이음")</f>
        <v/>
      </c>
      <c r="O2336" s="3" t="inlineStr">
        <is>
          <t>담뜰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봉안리 209-7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131000</v>
      </c>
      <c r="G2337" s="4" t="n">
        <v>865</v>
      </c>
      <c r="H2337" s="4" t="n">
        <v>262</v>
      </c>
      <c r="I2337" s="5" t="n">
        <v>500</v>
      </c>
      <c r="J2337" s="5" t="n">
        <v>175.3</v>
      </c>
      <c r="K2337" s="3" t="inlineStr">
        <is>
          <t>현재 주택임</t>
        </is>
      </c>
      <c r="L2337" s="6">
        <f>HYPERLINK("https://fin.land.naver.com/articles/2651002094", "매물Link")</f>
        <v/>
      </c>
      <c r="M2337" s="6">
        <f>HYPERLINK("https://map.naver.com/p/search/장군면 봉안리 209-7", "지도Link")</f>
        <v/>
      </c>
      <c r="N2337" s="6">
        <f>HYPERLINK("http://www.eum.go.kr/web/ar/lu/luLandDet.jsp?pnu=3611035024102090007&amp;isNoScr=script&amp;mode=search", "토지이음")</f>
        <v/>
      </c>
      <c r="O2337" s="3" t="inlineStr">
        <is>
          <t>노은밸리</t>
        </is>
      </c>
      <c r="P2337" s="4" t="n">
        <v>1</v>
      </c>
      <c r="Q2337" s="4" t="n">
        <v>710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평지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213-3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29200</v>
      </c>
      <c r="G2338" s="4" t="n">
        <v>216</v>
      </c>
      <c r="H2338" s="4" t="n">
        <v>65</v>
      </c>
      <c r="I2338" s="5" t="n">
        <v>449.2</v>
      </c>
      <c r="J2338" s="5" t="n">
        <v>254.8</v>
      </c>
      <c r="K2338" s="3" t="inlineStr">
        <is>
          <t>봉안리 아담한 주택지</t>
        </is>
      </c>
      <c r="L2338" s="6">
        <f>HYPERLINK("https://fin.land.naver.com/articles/2651783401", "매물Link")</f>
        <v/>
      </c>
      <c r="M2338" s="6">
        <f>HYPERLINK("https://map.naver.com/p/search/장군면 봉안리 213-3", "지도Link")</f>
        <v/>
      </c>
      <c r="N2338" s="6">
        <f>HYPERLINK("http://www.eum.go.kr/web/ar/lu/luLandDet.jsp?pnu=3611035024102130003&amp;isNoScr=script&amp;mode=search", "토지이음")</f>
        <v/>
      </c>
      <c r="O2338" s="3" t="inlineStr">
        <is>
          <t>세종천지</t>
        </is>
      </c>
      <c r="P2338" s="4" t="n">
        <v>1</v>
      </c>
      <c r="Q2338" s="4" t="n">
        <v>216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봉안리 216-12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65000</v>
      </c>
      <c r="G2339" s="4" t="n">
        <v>768</v>
      </c>
      <c r="H2339" s="4" t="n">
        <v>232</v>
      </c>
      <c r="I2339" s="5" t="n">
        <v>280.2</v>
      </c>
      <c r="J2339" s="5" t="n">
        <v>239.6</v>
      </c>
      <c r="K2339" s="3" t="inlineStr">
        <is>
          <t>도로지분 포함, 건축허가되어 있는 가치있는 토지에 투자하세요</t>
        </is>
      </c>
      <c r="L2339" s="6">
        <f>HYPERLINK("https://fin.land.naver.com/articles/2655207829", "매물Link")</f>
        <v/>
      </c>
      <c r="M2339" s="6">
        <f>HYPERLINK("https://map.naver.com/p/search/장군면 봉안리 216-12", "지도Link")</f>
        <v/>
      </c>
      <c r="N2339" s="6">
        <f>HYPERLINK("http://www.eum.go.kr/web/ar/lu/luLandDet.jsp?pnu=3611035024102160012&amp;isNoScr=script&amp;mode=search", "토지이음")</f>
        <v/>
      </c>
      <c r="O2339" s="3" t="inlineStr">
        <is>
          <t>수자인시티</t>
        </is>
      </c>
      <c r="P2339" s="4" t="n">
        <v>2</v>
      </c>
      <c r="Q2339" s="4" t="n">
        <v>755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봉안리 216-12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65000</v>
      </c>
      <c r="G2340" s="4" t="n">
        <v>755</v>
      </c>
      <c r="H2340" s="4" t="n">
        <v>228</v>
      </c>
      <c r="I2340" s="5" t="n">
        <v>285.1</v>
      </c>
      <c r="J2340" s="5" t="n">
        <v>239.6</v>
      </c>
      <c r="K2340" s="3" t="inlineStr">
        <is>
          <t>급매,도로접한 계획관리,지대 높은 전원주택지,투자가치 상승 기대되는 토지</t>
        </is>
      </c>
      <c r="L2340" s="6">
        <f>HYPERLINK("https://fin.land.naver.com/articles/2651453500", "매물Link")</f>
        <v/>
      </c>
      <c r="M2340" s="6">
        <f>HYPERLINK("https://map.naver.com/p/search/장군면 봉안리 216-12", "지도Link")</f>
        <v/>
      </c>
      <c r="N2340" s="6">
        <f>HYPERLINK("http://www.eum.go.kr/web/ar/lu/luLandDet.jsp?pnu=3611035024102160012&amp;isNoScr=script&amp;mode=search", "토지이음")</f>
        <v/>
      </c>
      <c r="O2340" s="3" t="inlineStr">
        <is>
          <t>고운맘</t>
        </is>
      </c>
      <c r="P2340" s="4" t="n">
        <v>1</v>
      </c>
      <c r="Q2340" s="4" t="n">
        <v>755</v>
      </c>
      <c r="R2340" s="3" t="inlineStr">
        <is>
          <t>지정되지않음</t>
        </is>
      </c>
      <c r="S2340" s="3" t="inlineStr">
        <is>
          <t>주거나지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755</v>
      </c>
      <c r="H2341" s="4" t="n">
        <v>228</v>
      </c>
      <c r="I2341" s="5" t="n">
        <v>285.1</v>
      </c>
      <c r="J2341" s="5" t="n">
        <v>239.6</v>
      </c>
      <c r="K2341" s="3" t="inlineStr">
        <is>
          <t>급매,건축허가 득한 조망좋은 계획관리 토지,카페자리로 추천</t>
        </is>
      </c>
      <c r="L2341" s="6">
        <f>HYPERLINK("https://fin.land.naver.com/articles/2654808521",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가치잇는</t>
        </is>
      </c>
      <c r="P2341" s="4" t="n">
        <v>3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216-24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70000</v>
      </c>
      <c r="G2342" s="4" t="n">
        <v>678</v>
      </c>
      <c r="H2342" s="4" t="n">
        <v>205</v>
      </c>
      <c r="I2342" s="5" t="n">
        <v>341.5</v>
      </c>
      <c r="J2342" s="5" t="n">
        <v>336.9</v>
      </c>
      <c r="K2342" s="3" t="inlineStr">
        <is>
          <t>지대 높은 조망권뷰최상 전원주택지,고운.다정동5분거리,투자가치상승</t>
        </is>
      </c>
      <c r="L2342" s="6">
        <f>HYPERLINK("https://fin.land.naver.com/articles/2655575994", "매물Link")</f>
        <v/>
      </c>
      <c r="M2342" s="6">
        <f>HYPERLINK("https://map.naver.com/p/search/장군면 봉안리 216-24", "지도Link")</f>
        <v/>
      </c>
      <c r="N2342" s="6">
        <f>HYPERLINK("http://www.eum.go.kr/web/ar/lu/luLandDet.jsp?pnu=3611035024102160024&amp;isNoScr=script&amp;mode=search",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678</v>
      </c>
      <c r="R2342" s="3" t="inlineStr">
        <is>
          <t>지정되지않음</t>
        </is>
      </c>
      <c r="S2342" s="3" t="inlineStr">
        <is>
          <t>주상용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세로각지(가)</t>
        </is>
      </c>
    </row>
    <row r="2343">
      <c r="A2343" s="3" t="inlineStr">
        <is>
          <t>장군면 봉안리 22-100</t>
        </is>
      </c>
      <c r="B2343" s="3" t="inlineStr">
        <is>
          <t>보전관리지역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35000</v>
      </c>
      <c r="G2343" s="4" t="n">
        <v>333</v>
      </c>
      <c r="H2343" s="4" t="n">
        <v>101</v>
      </c>
      <c r="I2343" s="5" t="n">
        <v>346.5</v>
      </c>
      <c r="J2343" s="5" t="n">
        <v>208.8</v>
      </c>
      <c r="K2343" s="3" t="inlineStr">
        <is>
          <t>전망좋고 세종행복도시 생활권 누릴 수 있는 전원주택지 매도</t>
        </is>
      </c>
      <c r="L2343" s="6">
        <f>HYPERLINK("https://fin.land.naver.com/articles/2656194512", "매물Link")</f>
        <v/>
      </c>
      <c r="M2343" s="6">
        <f>HYPERLINK("https://map.naver.com/p/search/장군면 봉안리 22-100", "지도Link")</f>
        <v/>
      </c>
      <c r="N2343" s="6">
        <f>HYPERLINK("http://www.eum.go.kr/web/ar/lu/luLandDet.jsp?pnu=3611035024100220100&amp;isNoScr=script&amp;mode=search", "토지이음")</f>
        <v/>
      </c>
      <c r="O2343" s="3" t="inlineStr">
        <is>
          <t>번영</t>
        </is>
      </c>
      <c r="P2343" s="4" t="n">
        <v>1</v>
      </c>
      <c r="Q2343" s="4" t="n">
        <v>333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봉안리 22-112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38000</v>
      </c>
      <c r="G2344" s="4" t="n">
        <v>310</v>
      </c>
      <c r="H2344" s="4" t="n">
        <v>94</v>
      </c>
      <c r="I2344" s="5" t="n">
        <v>404.3</v>
      </c>
      <c r="J2344" s="5" t="n">
        <v>212.5</v>
      </c>
      <c r="K2344" s="3" t="inlineStr">
        <is>
          <t>세종시 접한 전원주택지 , 기반시설 완</t>
        </is>
      </c>
      <c r="L2344" s="6">
        <f>HYPERLINK("https://fin.land.naver.com/articles/2651677545", "매물Link")</f>
        <v/>
      </c>
      <c r="M2344" s="6">
        <f>HYPERLINK("https://map.naver.com/p/search/장군면 봉안리 22-112", "지도Link")</f>
        <v/>
      </c>
      <c r="N2344" s="6">
        <f>HYPERLINK("http://www.eum.go.kr/web/ar/lu/luLandDet.jsp?pnu=3611035024100220112&amp;isNoScr=script&amp;mode=search", "토지이음")</f>
        <v/>
      </c>
      <c r="O2344" s="3" t="inlineStr">
        <is>
          <t>세종태양</t>
        </is>
      </c>
      <c r="P2344" s="4" t="n">
        <v>1</v>
      </c>
      <c r="Q2344" s="4" t="n">
        <v>255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소로한면</t>
        </is>
      </c>
    </row>
    <row r="2345">
      <c r="A2345" s="3" t="inlineStr">
        <is>
          <t>장군면 봉안리 22-171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40000</v>
      </c>
      <c r="G2345" s="4" t="n">
        <v>339</v>
      </c>
      <c r="H2345" s="4" t="n">
        <v>103</v>
      </c>
      <c r="I2345" s="5" t="n">
        <v>388.3</v>
      </c>
      <c r="J2345" s="5" t="n">
        <v>210.5</v>
      </c>
      <c r="K2345" s="3" t="inlineStr">
        <is>
          <t>전원주택부지로 도로에 접하여 있으며,다정동 아파트에 인접해 있어요</t>
        </is>
      </c>
      <c r="L2345" s="6">
        <f>HYPERLINK("https://fin.land.naver.com/articles/2655698000", "매물Link")</f>
        <v/>
      </c>
      <c r="M2345" s="6">
        <f>HYPERLINK("https://map.naver.com/p/search/장군면 봉안리 22-171", "지도Link")</f>
        <v/>
      </c>
      <c r="N2345" s="6">
        <f>HYPERLINK("http://www.eum.go.kr/web/ar/lu/luLandDet.jsp?pnu=3611035024100220171&amp;isNoScr=script&amp;mode=search", "토지이음")</f>
        <v/>
      </c>
      <c r="O2345" s="3" t="inlineStr">
        <is>
          <t>송림탑</t>
        </is>
      </c>
      <c r="P2345" s="4" t="n">
        <v>1</v>
      </c>
      <c r="Q2345" s="4" t="n">
        <v>339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세로각지(가)</t>
        </is>
      </c>
    </row>
    <row r="2346">
      <c r="A2346" s="3" t="inlineStr">
        <is>
          <t>장군면 봉안리 22-215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56000</v>
      </c>
      <c r="G2346" s="4" t="n">
        <v>347</v>
      </c>
      <c r="H2346" s="4" t="n">
        <v>105</v>
      </c>
      <c r="I2346" s="5" t="n">
        <v>533.3</v>
      </c>
      <c r="J2346" s="5" t="n">
        <v>194.2</v>
      </c>
      <c r="K2346" s="3" t="inlineStr">
        <is>
          <t>nan</t>
        </is>
      </c>
      <c r="L2346" s="6">
        <f>HYPERLINK("https://fin.land.naver.com/articles/2653247350", "매물Link")</f>
        <v/>
      </c>
      <c r="M2346" s="6">
        <f>HYPERLINK("https://map.naver.com/p/search/장군면 봉안리 22-215", "지도Link")</f>
        <v/>
      </c>
      <c r="N2346" s="6">
        <f>HYPERLINK("http://www.eum.go.kr/web/ar/lu/luLandDet.jsp?pnu=3611035024100220215&amp;isNoScr=script&amp;mode=search", "토지이음")</f>
        <v/>
      </c>
      <c r="O2346" s="3" t="inlineStr">
        <is>
          <t>다정가온아리</t>
        </is>
      </c>
      <c r="P2346" s="4" t="n">
        <v>1</v>
      </c>
      <c r="Q2346" s="4" t="n">
        <v>187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봉안리 22-245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40000</v>
      </c>
      <c r="G2347" s="4" t="n">
        <v>330</v>
      </c>
      <c r="H2347" s="4" t="n">
        <v>100</v>
      </c>
      <c r="I2347" s="5" t="n">
        <v>400</v>
      </c>
      <c r="J2347" s="5" t="n">
        <v>218.8</v>
      </c>
      <c r="K2347" s="3" t="inlineStr">
        <is>
          <t>nan</t>
        </is>
      </c>
      <c r="L2347" s="6">
        <f>HYPERLINK("https://fin.land.naver.com/articles/2653654392", "매물Link")</f>
        <v/>
      </c>
      <c r="M2347" s="6">
        <f>HYPERLINK("https://map.naver.com/p/search/장군면 봉안리 22-245", "지도Link")</f>
        <v/>
      </c>
      <c r="N2347" s="6">
        <f>HYPERLINK("http://www.eum.go.kr/web/ar/lu/luLandDet.jsp?pnu=3611035024100220245&amp;isNoScr=script&amp;mode=search", "토지이음")</f>
        <v/>
      </c>
      <c r="O2347" s="3" t="inlineStr">
        <is>
          <t>세종몽땅</t>
        </is>
      </c>
      <c r="P2347" s="4" t="n">
        <v>1</v>
      </c>
      <c r="Q2347" s="4" t="n">
        <v>320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22-67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39500</v>
      </c>
      <c r="G2348" s="4" t="n">
        <v>321</v>
      </c>
      <c r="H2348" s="4" t="n">
        <v>97</v>
      </c>
      <c r="I2348" s="5" t="n">
        <v>407.2</v>
      </c>
      <c r="J2348" s="5" t="n">
        <v>194.2</v>
      </c>
      <c r="K2348" s="3" t="inlineStr">
        <is>
          <t>nan</t>
        </is>
      </c>
      <c r="L2348" s="6">
        <f>HYPERLINK("https://fin.land.naver.com/articles/2651596314", "매물Link")</f>
        <v/>
      </c>
      <c r="M2348" s="6">
        <f>HYPERLINK("https://map.naver.com/p/search/장군면 봉안리 22-67", "지도Link")</f>
        <v/>
      </c>
      <c r="N2348" s="6">
        <f>HYPERLINK("http://www.eum.go.kr/web/ar/lu/luLandDet.jsp?pnu=3611035024100220067&amp;isNoScr=script&amp;mode=search", "토지이음")</f>
        <v/>
      </c>
      <c r="O2348" s="3" t="inlineStr">
        <is>
          <t>세종몽땅</t>
        </is>
      </c>
      <c r="P2348" s="4" t="n">
        <v>1</v>
      </c>
      <c r="Q2348" s="4" t="n">
        <v>321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봉안리 22-71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38000</v>
      </c>
      <c r="G2349" s="4" t="n">
        <v>398</v>
      </c>
      <c r="H2349" s="4" t="n">
        <v>120</v>
      </c>
      <c r="I2349" s="5" t="n">
        <v>316.7</v>
      </c>
      <c r="J2349" s="5" t="n">
        <v>194.2</v>
      </c>
      <c r="K2349" s="3" t="inlineStr">
        <is>
          <t>급매,행복마을 프라우드힐,다정동 인접,벙커형 주차장가능,저렴한 택지</t>
        </is>
      </c>
      <c r="L2349" s="6">
        <f>HYPERLINK("https://fin.land.naver.com/articles/2650851587", "매물Link")</f>
        <v/>
      </c>
      <c r="M2349" s="6">
        <f>HYPERLINK("https://map.naver.com/p/search/장군면 봉안리 22-71", "지도Link")</f>
        <v/>
      </c>
      <c r="N2349" s="6">
        <f>HYPERLINK("http://www.eum.go.kr/web/ar/lu/luLandDet.jsp?pnu=3611035024100220071&amp;isNoScr=script&amp;mode=search",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323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봉안리 22-71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대</t>
        </is>
      </c>
      <c r="E2350" s="3" t="inlineStr">
        <is>
          <t>매매</t>
        </is>
      </c>
      <c r="F2350" s="4" t="n">
        <v>45000</v>
      </c>
      <c r="G2350" s="4" t="n">
        <v>323</v>
      </c>
      <c r="H2350" s="4" t="n">
        <v>98</v>
      </c>
      <c r="I2350" s="5" t="n">
        <v>459.2</v>
      </c>
      <c r="J2350" s="5" t="n">
        <v>194.2</v>
      </c>
      <c r="K2350" s="3" t="inlineStr">
        <is>
          <t>생명나무,장군면 프라우드힐 타운하우스 .행복도시 근접거리있어요</t>
        </is>
      </c>
      <c r="L2350" s="6">
        <f>HYPERLINK("https://fin.land.naver.com/articles/2655216556", "매물Link")</f>
        <v/>
      </c>
      <c r="M2350" s="6">
        <f>HYPERLINK("https://map.naver.com/p/search/장군면 봉안리 22-71", "지도Link")</f>
        <v/>
      </c>
      <c r="N2350" s="6">
        <f>HYPERLINK("http://www.eum.go.kr/web/ar/lu/luLandDet.jsp?pnu=3611035024100220071&amp;isNoScr=script&amp;mode=search", "토지이음")</f>
        <v/>
      </c>
      <c r="O2350" s="3" t="inlineStr">
        <is>
          <t>생명나무</t>
        </is>
      </c>
      <c r="P2350" s="4" t="n">
        <v>2</v>
      </c>
      <c r="Q2350" s="4" t="n">
        <v>323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봉안리 22-71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45000</v>
      </c>
      <c r="G2351" s="4" t="n">
        <v>323</v>
      </c>
      <c r="H2351" s="4" t="n">
        <v>98</v>
      </c>
      <c r="I2351" s="5" t="n">
        <v>459.2</v>
      </c>
      <c r="J2351" s="5" t="n">
        <v>194.2</v>
      </c>
      <c r="K2351" s="3" t="inlineStr">
        <is>
          <t>프라우드힐 단독주택지</t>
        </is>
      </c>
      <c r="L2351" s="6">
        <f>HYPERLINK("https://fin.land.naver.com/articles/2652349234", "매물Link")</f>
        <v/>
      </c>
      <c r="M2351" s="6">
        <f>HYPERLINK("https://map.naver.com/p/search/장군면 봉안리 22-71", "지도Link")</f>
        <v/>
      </c>
      <c r="N2351" s="6">
        <f>HYPERLINK("http://www.eum.go.kr/web/ar/lu/luLandDet.jsp?pnu=3611035024100220071&amp;isNoScr=script&amp;mode=search",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323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22-95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40000</v>
      </c>
      <c r="G2352" s="4" t="n">
        <v>333</v>
      </c>
      <c r="H2352" s="4" t="n">
        <v>101</v>
      </c>
      <c r="I2352" s="5" t="n">
        <v>396</v>
      </c>
      <c r="J2352" s="5" t="n">
        <v>224.5</v>
      </c>
      <c r="K2352" s="3" t="inlineStr">
        <is>
          <t>전망 좋고 세종행복도시 생활권 누릴 수 있는 전원주택지 매도</t>
        </is>
      </c>
      <c r="L2352" s="6">
        <f>HYPERLINK("https://fin.land.naver.com/articles/2656194612", "매물Link")</f>
        <v/>
      </c>
      <c r="M2352" s="6">
        <f>HYPERLINK("https://map.naver.com/p/search/장군면 봉안리 22-95", "지도Link")</f>
        <v/>
      </c>
      <c r="N2352" s="6">
        <f>HYPERLINK("http://www.eum.go.kr/web/ar/lu/luLandDet.jsp?pnu=3611035024100220095&amp;isNoScr=script&amp;mode=search", "토지이음")</f>
        <v/>
      </c>
      <c r="O2352" s="3" t="inlineStr">
        <is>
          <t>번영</t>
        </is>
      </c>
      <c r="P2352" s="4" t="n">
        <v>1</v>
      </c>
      <c r="Q2352" s="4" t="n">
        <v>333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소로한면</t>
        </is>
      </c>
    </row>
    <row r="2353">
      <c r="A2353" s="3" t="inlineStr">
        <is>
          <t>장군면 봉안리 233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32000</v>
      </c>
      <c r="G2353" s="4" t="n">
        <v>873</v>
      </c>
      <c r="H2353" s="4" t="n">
        <v>264</v>
      </c>
      <c r="I2353" s="5" t="n">
        <v>121.2</v>
      </c>
      <c r="J2353" s="5" t="n">
        <v>115.7</v>
      </c>
      <c r="K2353" s="3" t="inlineStr">
        <is>
          <t>계획관리지역, 급매</t>
        </is>
      </c>
      <c r="L2353" s="6">
        <f>HYPERLINK("https://fin.land.naver.com/articles/2655607927", "매물Link")</f>
        <v/>
      </c>
      <c r="M2353" s="6">
        <f>HYPERLINK("https://map.naver.com/p/search/장군면 봉안리 233", "지도Link")</f>
        <v/>
      </c>
      <c r="N2353" s="6">
        <f>HYPERLINK("http://www.eum.go.kr/web/ar/lu/luLandDet.jsp?pnu=3611035024102330000&amp;isNoScr=script&amp;mode=search", "토지이음")</f>
        <v/>
      </c>
      <c r="O2353" s="3" t="inlineStr">
        <is>
          <t>세종엘리트</t>
        </is>
      </c>
      <c r="P2353" s="4" t="n">
        <v>1</v>
      </c>
      <c r="Q2353" s="4" t="n">
        <v>873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25-5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198000</v>
      </c>
      <c r="G2354" s="4" t="n">
        <v>1455</v>
      </c>
      <c r="H2354" s="4" t="n">
        <v>440</v>
      </c>
      <c r="I2354" s="5" t="n">
        <v>450</v>
      </c>
      <c r="J2354" s="5" t="n">
        <v>147.7</v>
      </c>
      <c r="K2354" s="3" t="inlineStr">
        <is>
          <t>세종시2생활권 바로옆 계획관리지역 전</t>
        </is>
      </c>
      <c r="L2354" s="6">
        <f>HYPERLINK("https://fin.land.naver.com/articles/2650896765", "매물Link")</f>
        <v/>
      </c>
      <c r="M2354" s="6">
        <f>HYPERLINK("https://map.naver.com/p/search/장군면 봉안리 25-5", "지도Link")</f>
        <v/>
      </c>
      <c r="N2354" s="6">
        <f>HYPERLINK("http://www.eum.go.kr/web/ar/lu/luLandDet.jsp?pnu=3611035024100250005&amp;isNoScr=script&amp;mode=search", "토지이음")</f>
        <v/>
      </c>
      <c r="O2354" s="3" t="inlineStr">
        <is>
          <t>세종천지</t>
        </is>
      </c>
      <c r="P2354" s="4" t="n">
        <v>1</v>
      </c>
      <c r="Q2354" s="4" t="n">
        <v>1455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250</t>
        </is>
      </c>
      <c r="B2355" s="3" t="inlineStr">
        <is>
          <t>계획관리지역</t>
        </is>
      </c>
      <c r="C2355" s="3" t="inlineStr">
        <is>
          <t>답</t>
        </is>
      </c>
      <c r="D2355" s="3" t="inlineStr">
        <is>
          <t>답</t>
        </is>
      </c>
      <c r="E2355" s="3" t="inlineStr">
        <is>
          <t>매매</t>
        </is>
      </c>
      <c r="F2355" s="4" t="n">
        <v>160000</v>
      </c>
      <c r="G2355" s="4" t="n">
        <v>1964</v>
      </c>
      <c r="H2355" s="4" t="n">
        <v>594</v>
      </c>
      <c r="I2355" s="5" t="n">
        <v>269.4</v>
      </c>
      <c r="J2355" s="5" t="n">
        <v>146.3</v>
      </c>
      <c r="K2355" s="3" t="inlineStr">
        <is>
          <t>조율가능 진입로길게접함 카페 음식점 창고 다용도</t>
        </is>
      </c>
      <c r="L2355" s="6">
        <f>HYPERLINK("https://fin.land.naver.com/articles/2653067576", "매물Link")</f>
        <v/>
      </c>
      <c r="M2355" s="6">
        <f>HYPERLINK("https://map.naver.com/p/search/장군면 봉안리 250", "지도Link")</f>
        <v/>
      </c>
      <c r="N2355" s="6">
        <f>HYPERLINK("http://www.eum.go.kr/web/ar/lu/luLandDet.jsp?pnu=3611035024102500000&amp;isNoScr=script&amp;mode=search", "토지이음")</f>
        <v/>
      </c>
      <c r="O2355" s="3" t="inlineStr">
        <is>
          <t>세종스타</t>
        </is>
      </c>
      <c r="P2355" s="4" t="n">
        <v>1</v>
      </c>
      <c r="Q2355" s="4" t="n">
        <v>1964</v>
      </c>
      <c r="R2355" s="3" t="inlineStr">
        <is>
          <t>지정되지않음</t>
        </is>
      </c>
      <c r="S2355" s="3" t="inlineStr">
        <is>
          <t>답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255-2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69000</v>
      </c>
      <c r="G2356" s="4" t="n">
        <v>780</v>
      </c>
      <c r="H2356" s="4" t="n">
        <v>236</v>
      </c>
      <c r="I2356" s="5" t="n">
        <v>292.4</v>
      </c>
      <c r="J2356" s="5" t="n">
        <v>239.6</v>
      </c>
      <c r="K2356" s="3" t="inlineStr">
        <is>
          <t>장군면 봉안리 6m도로접한 근린상가적지</t>
        </is>
      </c>
      <c r="L2356" s="6">
        <f>HYPERLINK("https://fin.land.naver.com/articles/2652945883", "매물Link")</f>
        <v/>
      </c>
      <c r="M2356" s="6">
        <f>HYPERLINK("https://map.naver.com/p/search/장군면 봉안리 255-2", "지도Link")</f>
        <v/>
      </c>
      <c r="N2356" s="6">
        <f>HYPERLINK("http://www.eum.go.kr/web/ar/lu/luLandDet.jsp?pnu=3611035024102550002&amp;isNoScr=script&amp;mode=search", "토지이음")</f>
        <v/>
      </c>
      <c r="O2356" s="3" t="inlineStr">
        <is>
          <t>세종천지</t>
        </is>
      </c>
      <c r="P2356" s="4" t="n">
        <v>1</v>
      </c>
      <c r="Q2356" s="4" t="n">
        <v>584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266-3</t>
        </is>
      </c>
      <c r="B2357" s="3" t="inlineStr">
        <is>
          <t>계획관리지역</t>
        </is>
      </c>
      <c r="C2357" s="3" t="inlineStr">
        <is>
          <t>목장용지</t>
        </is>
      </c>
      <c r="D2357" s="3" t="inlineStr">
        <is>
          <t>목장용지</t>
        </is>
      </c>
      <c r="E2357" s="3" t="inlineStr">
        <is>
          <t>매매</t>
        </is>
      </c>
      <c r="F2357" s="4" t="n">
        <v>51000</v>
      </c>
      <c r="G2357" s="4" t="n">
        <v>669</v>
      </c>
      <c r="H2357" s="4" t="n">
        <v>202</v>
      </c>
      <c r="I2357" s="5" t="n">
        <v>252.5</v>
      </c>
      <c r="J2357" s="5" t="n">
        <v>101.9</v>
      </c>
      <c r="K2357" s="3" t="inlineStr">
        <is>
          <t>세종 행복도시 바로 옆 계획관리 목장용지.대지와 같은 토지</t>
        </is>
      </c>
      <c r="L2357" s="6">
        <f>HYPERLINK("https://fin.land.naver.com/articles/2656008923", "매물Link")</f>
        <v/>
      </c>
      <c r="M2357" s="6">
        <f>HYPERLINK("https://map.naver.com/p/search/장군면 봉안리 266-3", "지도Link")</f>
        <v/>
      </c>
      <c r="N2357" s="6">
        <f>HYPERLINK("http://www.eum.go.kr/web/ar/lu/luLandDet.jsp?pnu=3611035024102660003&amp;isNoScr=script&amp;mode=search", "토지이음")</f>
        <v/>
      </c>
      <c r="O2357" s="3" t="inlineStr">
        <is>
          <t>노은탑</t>
        </is>
      </c>
      <c r="P2357" s="4" t="n">
        <v>1</v>
      </c>
      <c r="Q2357" s="4" t="n">
        <v>661</v>
      </c>
      <c r="R2357" s="3" t="inlineStr">
        <is>
          <t>지정되지않음</t>
        </is>
      </c>
      <c r="S2357" s="3" t="inlineStr">
        <is>
          <t>답기타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세로한면(불)</t>
        </is>
      </c>
    </row>
    <row r="2358">
      <c r="A2358" s="3" t="inlineStr">
        <is>
          <t>장군면 봉안리 269-1</t>
        </is>
      </c>
      <c r="B2358" s="3" t="inlineStr">
        <is>
          <t>보전관리지역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2700000</v>
      </c>
      <c r="G2358" s="4" t="n">
        <v>77796</v>
      </c>
      <c r="H2358" s="4" t="n">
        <v>23533</v>
      </c>
      <c r="I2358" s="5" t="n">
        <v>114.7</v>
      </c>
      <c r="J2358" s="5" t="n">
        <v>42.6</v>
      </c>
      <c r="K2358" s="3" t="inlineStr">
        <is>
          <t>2차선접,나즈막한 야산,세종시인접</t>
        </is>
      </c>
      <c r="L2358" s="6">
        <f>HYPERLINK("https://fin.land.naver.com/articles/2652956966", "매물Link")</f>
        <v/>
      </c>
      <c r="M2358" s="6">
        <f>HYPERLINK("https://map.naver.com/p/search/장군면 봉안리 269-1", "지도Link")</f>
        <v/>
      </c>
      <c r="N2358" s="6">
        <f>HYPERLINK("http://www.eum.go.kr/web/ar/lu/luLandDet.jsp?pnu=3611035024102690001&amp;isNoScr=script&amp;mode=search", "토지이음")</f>
        <v/>
      </c>
      <c r="O2358" s="3" t="inlineStr">
        <is>
          <t>좋은터</t>
        </is>
      </c>
      <c r="P2358" s="4" t="n">
        <v>2</v>
      </c>
      <c r="Q2358" s="4" t="n">
        <v>76431</v>
      </c>
      <c r="R2358" s="3" t="inlineStr">
        <is>
          <t>지정되지않음</t>
        </is>
      </c>
      <c r="S2358" s="3" t="inlineStr">
        <is>
          <t>자연림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소로한면</t>
        </is>
      </c>
    </row>
    <row r="2359">
      <c r="A2359" s="3" t="inlineStr">
        <is>
          <t>장군면 봉안리 269-6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250000</v>
      </c>
      <c r="G2359" s="4" t="n">
        <v>2090</v>
      </c>
      <c r="H2359" s="4" t="n">
        <v>632</v>
      </c>
      <c r="I2359" s="5" t="n">
        <v>395.6</v>
      </c>
      <c r="J2359" s="5" t="n">
        <v>289.5</v>
      </c>
      <c r="K2359" s="3" t="inlineStr">
        <is>
          <t>고운동 5분거리, 단층 건물 두동 임대중</t>
        </is>
      </c>
      <c r="L2359" s="6">
        <f>HYPERLINK("https://fin.land.naver.com/articles/2651159946", "매물Link")</f>
        <v/>
      </c>
      <c r="M2359" s="6">
        <f>HYPERLINK("https://map.naver.com/p/search/장군면 봉안리 269-6", "지도Link")</f>
        <v/>
      </c>
      <c r="N2359" s="6">
        <f>HYPERLINK("http://www.eum.go.kr/web/ar/lu/luLandDet.jsp?pnu=3611035024102690006&amp;isNoScr=script&amp;mode=search", "토지이음")</f>
        <v/>
      </c>
      <c r="O2359" s="3" t="inlineStr">
        <is>
          <t>미스터홈즈강남지사</t>
        </is>
      </c>
      <c r="P2359" s="4" t="n">
        <v>1</v>
      </c>
      <c r="Q2359" s="4" t="n">
        <v>2090</v>
      </c>
      <c r="R2359" s="3" t="inlineStr">
        <is>
          <t>지정되지않음</t>
        </is>
      </c>
      <c r="S2359" s="3" t="inlineStr">
        <is>
          <t>상업용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소로한면</t>
        </is>
      </c>
    </row>
    <row r="2360">
      <c r="A2360" s="3" t="inlineStr">
        <is>
          <t>장군면 봉안리 28-2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답</t>
        </is>
      </c>
      <c r="E2360" s="3" t="inlineStr">
        <is>
          <t>매매</t>
        </is>
      </c>
      <c r="F2360" s="4" t="n">
        <v>95000</v>
      </c>
      <c r="G2360" s="4" t="n">
        <v>658</v>
      </c>
      <c r="H2360" s="4" t="n">
        <v>199</v>
      </c>
      <c r="I2360" s="5" t="n">
        <v>477.4</v>
      </c>
      <c r="J2360" s="5" t="n">
        <v>172.6</v>
      </c>
      <c r="K2360" s="3" t="inlineStr">
        <is>
          <t>급매,도로접 계획관리지역 조망권뷰 최상, 알토란 토지 매매,투자용 추천</t>
        </is>
      </c>
      <c r="L2360" s="6">
        <f>HYPERLINK("https://fin.land.naver.com/articles/2653433301", "매물Link")</f>
        <v/>
      </c>
      <c r="M2360" s="6">
        <f>HYPERLINK("https://map.naver.com/p/search/장군면 봉안리 28-2", "지도Link")</f>
        <v/>
      </c>
      <c r="N2360" s="6">
        <f>HYPERLINK("http://www.eum.go.kr/web/ar/lu/luLandDet.jsp?pnu=3611035024100280002&amp;isNoScr=script&amp;mode=search", "토지이음")</f>
        <v/>
      </c>
      <c r="O2360" s="3" t="inlineStr">
        <is>
          <t>고운맘</t>
        </is>
      </c>
      <c r="P2360" s="4" t="n">
        <v>1</v>
      </c>
      <c r="Q2360" s="4" t="n">
        <v>658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282-1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150000</v>
      </c>
      <c r="G2361" s="4" t="n">
        <v>1636</v>
      </c>
      <c r="H2361" s="4" t="n">
        <v>495</v>
      </c>
      <c r="I2361" s="5" t="n">
        <v>303</v>
      </c>
      <c r="J2361" s="5" t="n">
        <v>104.1</v>
      </c>
      <c r="K2361" s="3" t="inlineStr">
        <is>
          <t>전원주택 최적지농막포함</t>
        </is>
      </c>
      <c r="L2361" s="6">
        <f>HYPERLINK("https://fin.land.naver.com/articles/2651569617", "매물Link")</f>
        <v/>
      </c>
      <c r="M2361" s="6">
        <f>HYPERLINK("https://map.naver.com/p/search/장군면 봉안리 282-1", "지도Link")</f>
        <v/>
      </c>
      <c r="N2361" s="6">
        <f>HYPERLINK("http://www.eum.go.kr/web/ar/lu/luLandDet.jsp?pnu=3611035024102820001&amp;isNoScr=script&amp;mode=search", "토지이음")</f>
        <v/>
      </c>
      <c r="O2361" s="3" t="inlineStr">
        <is>
          <t>몰리브</t>
        </is>
      </c>
      <c r="P2361" s="4" t="n">
        <v>1</v>
      </c>
      <c r="Q2361" s="4" t="n">
        <v>1636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세로한면(불)</t>
        </is>
      </c>
    </row>
    <row r="2362">
      <c r="A2362" s="3" t="inlineStr">
        <is>
          <t>장군면 봉안리 287-2</t>
        </is>
      </c>
      <c r="B2362" s="3" t="inlineStr">
        <is>
          <t>계획관리지역</t>
        </is>
      </c>
      <c r="C2362" s="3" t="inlineStr">
        <is>
          <t>잡종지</t>
        </is>
      </c>
      <c r="D2362" s="3" t="inlineStr">
        <is>
          <t>잡종지</t>
        </is>
      </c>
      <c r="E2362" s="3" t="inlineStr">
        <is>
          <t>매매</t>
        </is>
      </c>
      <c r="F2362" s="4" t="n">
        <v>190000</v>
      </c>
      <c r="G2362" s="4" t="n">
        <v>4637</v>
      </c>
      <c r="H2362" s="4" t="n">
        <v>1403</v>
      </c>
      <c r="I2362" s="5" t="n">
        <v>135.4</v>
      </c>
      <c r="J2362" s="5" t="n">
        <v>174.2</v>
      </c>
      <c r="K2362" s="3" t="inlineStr">
        <is>
          <t>장군면 봉안리 계획관리 잡종지 매매</t>
        </is>
      </c>
      <c r="L2362" s="6">
        <f>HYPERLINK("https://fin.land.naver.com/articles/2653974780", "매물Link")</f>
        <v/>
      </c>
      <c r="M2362" s="6">
        <f>HYPERLINK("https://map.naver.com/p/search/장군면 봉안리 287-2", "지도Link")</f>
        <v/>
      </c>
      <c r="N2362" s="6">
        <f>HYPERLINK("http://www.eum.go.kr/web/ar/lu/luLandDet.jsp?pnu=3611035024102870002&amp;isNoScr=script&amp;mode=search", "토지이음")</f>
        <v/>
      </c>
      <c r="O2362" s="3" t="inlineStr">
        <is>
          <t>갤러리</t>
        </is>
      </c>
      <c r="P2362" s="4" t="n">
        <v>1</v>
      </c>
      <c r="Q2362" s="4" t="n">
        <v>3931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세로한면(불)</t>
        </is>
      </c>
    </row>
    <row r="2363">
      <c r="A2363" s="3" t="inlineStr">
        <is>
          <t>장군면 봉안리 287-2</t>
        </is>
      </c>
      <c r="B2363" s="3" t="inlineStr">
        <is>
          <t>계획관리지역</t>
        </is>
      </c>
      <c r="C2363" s="3" t="inlineStr">
        <is>
          <t>잡종지</t>
        </is>
      </c>
      <c r="D2363" s="3" t="inlineStr">
        <is>
          <t>잡종지</t>
        </is>
      </c>
      <c r="E2363" s="3" t="inlineStr">
        <is>
          <t>매매</t>
        </is>
      </c>
      <c r="F2363" s="4" t="n">
        <v>190000</v>
      </c>
      <c r="G2363" s="4" t="n">
        <v>4356</v>
      </c>
      <c r="H2363" s="4" t="n">
        <v>1318</v>
      </c>
      <c r="I2363" s="5" t="n">
        <v>144.2</v>
      </c>
      <c r="J2363" s="5" t="n">
        <v>174.2</v>
      </c>
      <c r="K2363" s="3" t="inlineStr">
        <is>
          <t>공시지가로 매매하는 장군면 봉안리 계획관리지역 잡종지 급매합니다</t>
        </is>
      </c>
      <c r="L2363" s="6">
        <f>HYPERLINK("https://fin.land.naver.com/articles/2655557008", "매물Link")</f>
        <v/>
      </c>
      <c r="M2363" s="6">
        <f>HYPERLINK("https://map.naver.com/p/search/장군면 봉안리 287-2", "지도Link")</f>
        <v/>
      </c>
      <c r="N2363" s="6">
        <f>HYPERLINK("http://www.eum.go.kr/web/ar/lu/luLandDet.jsp?pnu=3611035024102870002&amp;isNoScr=script&amp;mode=search", "토지이음")</f>
        <v/>
      </c>
      <c r="O2363" s="3" t="inlineStr">
        <is>
          <t>스마일세종</t>
        </is>
      </c>
      <c r="P2363" s="4" t="n">
        <v>1</v>
      </c>
      <c r="Q2363" s="4" t="n">
        <v>3931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장군면 봉안리 295-11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65000</v>
      </c>
      <c r="G2364" s="4" t="n">
        <v>663</v>
      </c>
      <c r="H2364" s="4" t="n">
        <v>201</v>
      </c>
      <c r="I2364" s="5" t="n">
        <v>323.4</v>
      </c>
      <c r="J2364" s="5" t="n">
        <v>180.1</v>
      </c>
      <c r="K2364" s="3" t="inlineStr">
        <is>
          <t>세종시 경계지역 계획관리지역 급매 저렴한 땅</t>
        </is>
      </c>
      <c r="L2364" s="6">
        <f>HYPERLINK("https://fin.land.naver.com/articles/2653496935", "매물Link")</f>
        <v/>
      </c>
      <c r="M2364" s="6">
        <f>HYPERLINK("https://map.naver.com/p/search/장군면 봉안리 295-11", "지도Link")</f>
        <v/>
      </c>
      <c r="N2364" s="6">
        <f>HYPERLINK("http://www.eum.go.kr/web/ar/lu/luLandDet.jsp?pnu=3611035024102950011&amp;isNoScr=script&amp;mode=search", "토지이음")</f>
        <v/>
      </c>
      <c r="O2364" s="3" t="inlineStr">
        <is>
          <t>상상</t>
        </is>
      </c>
      <c r="P2364" s="4" t="n">
        <v>1</v>
      </c>
      <c r="Q2364" s="4" t="n">
        <v>537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봉안리 306-2</t>
        </is>
      </c>
      <c r="B2365" s="3" t="inlineStr">
        <is>
          <t>계획관리지역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150000</v>
      </c>
      <c r="G2365" s="4" t="n">
        <v>1133</v>
      </c>
      <c r="H2365" s="4" t="n">
        <v>343</v>
      </c>
      <c r="I2365" s="5" t="n">
        <v>437.3</v>
      </c>
      <c r="J2365" s="5" t="n">
        <v>96.3</v>
      </c>
      <c r="K2365" s="3" t="inlineStr">
        <is>
          <t>세종 건설지역 초인접 봉안리 상권 활성화된 토지</t>
        </is>
      </c>
      <c r="L2365" s="6">
        <f>HYPERLINK("https://fin.land.naver.com/articles/2652417766", "매물Link")</f>
        <v/>
      </c>
      <c r="M2365" s="6">
        <f>HYPERLINK("https://map.naver.com/p/search/장군면 봉안리 306-2", "지도Link")</f>
        <v/>
      </c>
      <c r="N2365" s="6">
        <f>HYPERLINK("http://www.eum.go.kr/web/ar/lu/luLandDet.jsp?pnu=3611035024103060002&amp;isNoScr=script&amp;mode=search", "토지이음")</f>
        <v/>
      </c>
      <c r="O2365" s="3" t="inlineStr">
        <is>
          <t>강나루</t>
        </is>
      </c>
      <c r="P2365" s="4" t="n">
        <v>1</v>
      </c>
      <c r="Q2365" s="4" t="n">
        <v>1133</v>
      </c>
      <c r="R2365" s="3" t="inlineStr">
        <is>
          <t>지정되지않음</t>
        </is>
      </c>
      <c r="S2365" s="3" t="inlineStr">
        <is>
          <t>토지임야</t>
        </is>
      </c>
      <c r="T2365" s="3" t="inlineStr">
        <is>
          <t>완경사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봉안리 324-4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56700</v>
      </c>
      <c r="G2366" s="4" t="n">
        <v>535</v>
      </c>
      <c r="H2366" s="4" t="n">
        <v>162</v>
      </c>
      <c r="I2366" s="5" t="n">
        <v>350</v>
      </c>
      <c r="J2366" s="5" t="n">
        <v>190.1</v>
      </c>
      <c r="K2366" s="3" t="inlineStr">
        <is>
          <t>지대가 높아 전망이 좋고, 도로 접면도 70m 이상 나오는 계획관리지역</t>
        </is>
      </c>
      <c r="L2366" s="6">
        <f>HYPERLINK("https://fin.land.naver.com/articles/2652985142", "매물Link")</f>
        <v/>
      </c>
      <c r="M2366" s="6">
        <f>HYPERLINK("https://map.naver.com/p/search/장군면 봉안리 324-4", "지도Link")</f>
        <v/>
      </c>
      <c r="N2366" s="6">
        <f>HYPERLINK("http://www.eum.go.kr/web/ar/lu/luLandDet.jsp?pnu=3611035024103240004&amp;isNoScr=script&amp;mode=search", "토지이음")</f>
        <v/>
      </c>
      <c r="O2366" s="3" t="inlineStr">
        <is>
          <t>스마일세종</t>
        </is>
      </c>
      <c r="P2366" s="4" t="n">
        <v>1</v>
      </c>
      <c r="Q2366" s="4" t="n">
        <v>1609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봉안리 329</t>
        </is>
      </c>
      <c r="B2367" s="3" t="inlineStr">
        <is>
          <t>계획관리지역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1281600</v>
      </c>
      <c r="G2367" s="4" t="n">
        <v>5295</v>
      </c>
      <c r="H2367" s="4" t="n">
        <v>1602</v>
      </c>
      <c r="I2367" s="5" t="n">
        <v>800</v>
      </c>
      <c r="J2367" s="5" t="n">
        <v>497.5</v>
      </c>
      <c r="K2367" s="3" t="inlineStr">
        <is>
          <t>대형상가 개발부지 I 주변 개발에 따른 향후 투자 기대</t>
        </is>
      </c>
      <c r="L2367" s="6">
        <f>HYPERLINK("https://fin.land.naver.com/articles/2655482475", "매물Link")</f>
        <v/>
      </c>
      <c r="M2367" s="6">
        <f>HYPERLINK("https://map.naver.com/p/search/장군면 봉안리 329", "지도Link")</f>
        <v/>
      </c>
      <c r="N2367" s="6">
        <f>HYPERLINK("http://www.eum.go.kr/web/ar/lu/luLandDet.jsp?pnu=3611035024103290000&amp;isNoScr=script&amp;mode=search", "토지이음")</f>
        <v/>
      </c>
      <c r="O2367" s="3" t="inlineStr">
        <is>
          <t>다복  사무소</t>
        </is>
      </c>
      <c r="P2367" s="4" t="n">
        <v>1</v>
      </c>
      <c r="Q2367" s="4" t="n">
        <v>865</v>
      </c>
      <c r="R2367" s="3" t="inlineStr">
        <is>
          <t>지정되지않음</t>
        </is>
      </c>
      <c r="S2367" s="3" t="inlineStr">
        <is>
          <t>상업용</t>
        </is>
      </c>
      <c r="T2367" s="3" t="inlineStr">
        <is>
          <t>평지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봉안리 329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1281600</v>
      </c>
      <c r="G2368" s="4" t="n">
        <v>5295</v>
      </c>
      <c r="H2368" s="4" t="n">
        <v>1602</v>
      </c>
      <c r="I2368" s="5" t="n">
        <v>800</v>
      </c>
      <c r="J2368" s="5" t="n">
        <v>497.5</v>
      </c>
      <c r="K2368" s="3" t="inlineStr">
        <is>
          <t>nan</t>
        </is>
      </c>
      <c r="L2368" s="6">
        <f>HYPERLINK("https://fin.land.naver.com/articles/2655858564", "매물Link")</f>
        <v/>
      </c>
      <c r="M2368" s="6">
        <f>HYPERLINK("https://map.naver.com/p/search/장군면 봉안리 329", "지도Link")</f>
        <v/>
      </c>
      <c r="N2368" s="6">
        <f>HYPERLINK("http://www.eum.go.kr/web/ar/lu/luLandDet.jsp?pnu=3611035024103290000&amp;isNoScr=script&amp;mode=search", "토지이음")</f>
        <v/>
      </c>
      <c r="O2368" s="3" t="inlineStr">
        <is>
          <t>생명나무</t>
        </is>
      </c>
      <c r="P2368" s="4" t="n">
        <v>1</v>
      </c>
      <c r="Q2368" s="4" t="n">
        <v>865</v>
      </c>
      <c r="R2368" s="3" t="inlineStr">
        <is>
          <t>지정되지않음</t>
        </is>
      </c>
      <c r="S2368" s="3" t="inlineStr">
        <is>
          <t>상업용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봉안리 358-1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230000</v>
      </c>
      <c r="G2369" s="4" t="n">
        <v>3045</v>
      </c>
      <c r="H2369" s="4" t="n">
        <v>921</v>
      </c>
      <c r="I2369" s="5" t="n">
        <v>249.7</v>
      </c>
      <c r="J2369" s="5" t="n">
        <v>58.1</v>
      </c>
      <c r="K2369" s="3" t="inlineStr">
        <is>
          <t>장군면 봉안교차로 인근 현재  밭으로 사용중 창고추천</t>
        </is>
      </c>
      <c r="L2369" s="6">
        <f>HYPERLINK("https://fin.land.naver.com/articles/2654898583", "매물Link")</f>
        <v/>
      </c>
      <c r="M2369" s="6">
        <f>HYPERLINK("https://map.naver.com/p/search/장군면 봉안리 358-1", "지도Link")</f>
        <v/>
      </c>
      <c r="N2369" s="6">
        <f>HYPERLINK("http://www.eum.go.kr/web/ar/lu/luLandDet.jsp?pnu=3611035024103580001&amp;isNoScr=script&amp;mode=search", "토지이음")</f>
        <v/>
      </c>
      <c r="O2369" s="3" t="inlineStr">
        <is>
          <t>플러스자이합동</t>
        </is>
      </c>
      <c r="P2369" s="4" t="n">
        <v>1</v>
      </c>
      <c r="Q2369" s="4" t="n">
        <v>3045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363-2</t>
        </is>
      </c>
      <c r="B2370" s="3" t="inlineStr">
        <is>
          <t>농림지역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194000</v>
      </c>
      <c r="G2370" s="4" t="n">
        <v>1604</v>
      </c>
      <c r="H2370" s="4" t="n">
        <v>485</v>
      </c>
      <c r="I2370" s="5" t="n">
        <v>400</v>
      </c>
      <c r="J2370" s="5" t="n">
        <v>58.7</v>
      </c>
      <c r="K2370" s="3" t="inlineStr">
        <is>
          <t>nan</t>
        </is>
      </c>
      <c r="L2370" s="6">
        <f>HYPERLINK("https://fin.land.naver.com/articles/2655925187", "매물Link")</f>
        <v/>
      </c>
      <c r="M2370" s="6">
        <f>HYPERLINK("https://map.naver.com/p/search/장군면 봉안리 363-2", "지도Link")</f>
        <v/>
      </c>
      <c r="N2370" s="6">
        <f>HYPERLINK("http://www.eum.go.kr/web/ar/lu/luLandDet.jsp?pnu=3611035024103630002&amp;isNoScr=script&amp;mode=search", "토지이음")</f>
        <v/>
      </c>
      <c r="O2370" s="3" t="inlineStr">
        <is>
          <t>생명나무</t>
        </is>
      </c>
      <c r="P2370" s="4" t="n">
        <v>3</v>
      </c>
      <c r="Q2370" s="4" t="n">
        <v>1604</v>
      </c>
      <c r="R2370" s="3" t="inlineStr">
        <is>
          <t>지정되지않음</t>
        </is>
      </c>
      <c r="S2370" s="3" t="inlineStr">
        <is>
          <t>답</t>
        </is>
      </c>
      <c r="T2370" s="3" t="inlineStr">
        <is>
          <t>평지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봉안리 4-15</t>
        </is>
      </c>
      <c r="B2371" s="3" t="inlineStr">
        <is>
          <t>생산관리지역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53000</v>
      </c>
      <c r="G2371" s="4" t="n">
        <v>951</v>
      </c>
      <c r="H2371" s="4" t="n">
        <v>288</v>
      </c>
      <c r="I2371" s="5" t="n">
        <v>184</v>
      </c>
      <c r="J2371" s="5" t="n">
        <v>119.4</v>
      </c>
      <c r="K2371" s="3" t="inlineStr">
        <is>
          <t>세종 신도시 접근성과 뷰가 좋은 택지조성지 매매</t>
        </is>
      </c>
      <c r="L2371" s="6">
        <f>HYPERLINK("https://fin.land.naver.com/articles/2656159080", "매물Link")</f>
        <v/>
      </c>
      <c r="M2371" s="6">
        <f>HYPERLINK("https://map.naver.com/p/search/장군면 봉안리 4-15", "지도Link")</f>
        <v/>
      </c>
      <c r="N2371" s="6">
        <f>HYPERLINK("http://www.eum.go.kr/web/ar/lu/luLandDet.jsp?pnu=3611035024100040015&amp;isNoScr=script&amp;mode=search", "토지이음")</f>
        <v/>
      </c>
      <c r="O2371" s="3" t="inlineStr">
        <is>
          <t>세종비전행정사</t>
        </is>
      </c>
      <c r="P2371" s="4" t="n">
        <v>1</v>
      </c>
      <c r="Q2371" s="4" t="n">
        <v>951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봉안리 4-20</t>
        </is>
      </c>
      <c r="B2372" s="3" t="inlineStr">
        <is>
          <t>생산관리지역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49000</v>
      </c>
      <c r="G2372" s="4" t="n">
        <v>1157</v>
      </c>
      <c r="H2372" s="4" t="n">
        <v>350</v>
      </c>
      <c r="I2372" s="5" t="n">
        <v>140</v>
      </c>
      <c r="J2372" s="5" t="n">
        <v>121.9</v>
      </c>
      <c r="K2372" s="3" t="inlineStr">
        <is>
          <t>nan</t>
        </is>
      </c>
      <c r="L2372" s="6">
        <f>HYPERLINK("https://fin.land.naver.com/articles/2653570365", "매물Link")</f>
        <v/>
      </c>
      <c r="M2372" s="6">
        <f>HYPERLINK("https://map.naver.com/p/search/장군면 봉안리 4-20", "지도Link")</f>
        <v/>
      </c>
      <c r="N2372" s="6">
        <f>HYPERLINK("http://www.eum.go.kr/web/ar/lu/luLandDet.jsp?pnu=3611035024100040020&amp;isNoScr=script&amp;mode=search", "토지이음")</f>
        <v/>
      </c>
      <c r="O2372" s="3" t="inlineStr">
        <is>
          <t>보람최고</t>
        </is>
      </c>
      <c r="P2372" s="4" t="n">
        <v>1</v>
      </c>
      <c r="Q2372" s="4" t="n">
        <v>976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봉안리 4-20</t>
        </is>
      </c>
      <c r="B2373" s="3" t="inlineStr">
        <is>
          <t>생산관리지역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14000</v>
      </c>
      <c r="G2373" s="4" t="n">
        <v>1021</v>
      </c>
      <c r="H2373" s="4" t="n">
        <v>309</v>
      </c>
      <c r="I2373" s="5" t="n">
        <v>45.3</v>
      </c>
      <c r="J2373" s="5" t="n">
        <v>121.9</v>
      </c>
      <c r="K2373" s="3" t="inlineStr">
        <is>
          <t>급매 이마트에서 영평사 가는길 전원주택부지,주말농장가능</t>
        </is>
      </c>
      <c r="L2373" s="6">
        <f>HYPERLINK("https://fin.land.naver.com/articles/2656144951", "매물Link")</f>
        <v/>
      </c>
      <c r="M2373" s="6">
        <f>HYPERLINK("https://map.naver.com/p/search/장군면 봉안리 4-20", "지도Link")</f>
        <v/>
      </c>
      <c r="N2373" s="6">
        <f>HYPERLINK("http://www.eum.go.kr/web/ar/lu/luLandDet.jsp?pnu=3611035024100040020&amp;isNoScr=script&amp;mode=search", "토지이음")</f>
        <v/>
      </c>
      <c r="O2373" s="3" t="inlineStr">
        <is>
          <t>은주</t>
        </is>
      </c>
      <c r="P2373" s="4" t="n">
        <v>2</v>
      </c>
      <c r="Q2373" s="4" t="n">
        <v>976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봉안리 4-20</t>
        </is>
      </c>
      <c r="B2374" s="3" t="inlineStr">
        <is>
          <t>생산관리지역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42000</v>
      </c>
      <c r="G2374" s="4" t="n">
        <v>1157</v>
      </c>
      <c r="H2374" s="4" t="n">
        <v>350</v>
      </c>
      <c r="I2374" s="5" t="n">
        <v>120</v>
      </c>
      <c r="J2374" s="5" t="n">
        <v>121.9</v>
      </c>
      <c r="K2374" s="3" t="inlineStr">
        <is>
          <t>급매 행복도시인접한전원주택지 분할매매가능 도로지분포함</t>
        </is>
      </c>
      <c r="L2374" s="6">
        <f>HYPERLINK("https://fin.land.naver.com/articles/2654842048", "매물Link")</f>
        <v/>
      </c>
      <c r="M2374" s="6">
        <f>HYPERLINK("https://map.naver.com/p/search/장군면 봉안리 4-20", "지도Link")</f>
        <v/>
      </c>
      <c r="N2374" s="6">
        <f>HYPERLINK("http://www.eum.go.kr/web/ar/lu/luLandDet.jsp?pnu=3611035024100040020&amp;isNoScr=script&amp;mode=search", "토지이음")</f>
        <v/>
      </c>
      <c r="O2374" s="3" t="inlineStr">
        <is>
          <t>레몬</t>
        </is>
      </c>
      <c r="P2374" s="4" t="n">
        <v>1</v>
      </c>
      <c r="Q2374" s="4" t="n">
        <v>976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봉안리 4-21</t>
        </is>
      </c>
      <c r="B2375" s="3" t="inlineStr">
        <is>
          <t>생산관리지역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25000</v>
      </c>
      <c r="G2375" s="4" t="n">
        <v>815</v>
      </c>
      <c r="H2375" s="4" t="n">
        <v>247</v>
      </c>
      <c r="I2375" s="5" t="n">
        <v>101.2</v>
      </c>
      <c r="J2375" s="5" t="n">
        <v>121.9</v>
      </c>
      <c r="K2375" s="3" t="inlineStr">
        <is>
          <t>세종 이마트와 코스트코가 인근에 있는 전원주택 부지매매</t>
        </is>
      </c>
      <c r="L2375" s="6">
        <f>HYPERLINK("https://fin.land.naver.com/articles/2652418435", "매물Link")</f>
        <v/>
      </c>
      <c r="M2375" s="6">
        <f>HYPERLINK("https://map.naver.com/p/search/장군면 봉안리 4-21", "지도Link")</f>
        <v/>
      </c>
      <c r="N2375" s="6">
        <f>HYPERLINK("http://www.eum.go.kr/web/ar/lu/luLandDet.jsp?pnu=3611035024100040021&amp;isNoScr=script&amp;mode=search", "토지이음")</f>
        <v/>
      </c>
      <c r="O2375" s="3" t="inlineStr">
        <is>
          <t>비전</t>
        </is>
      </c>
      <c r="P2375" s="4" t="n">
        <v>1</v>
      </c>
      <c r="Q2375" s="4" t="n">
        <v>815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4-21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25000</v>
      </c>
      <c r="G2376" s="4" t="n">
        <v>912</v>
      </c>
      <c r="H2376" s="4" t="n">
        <v>276</v>
      </c>
      <c r="I2376" s="5" t="n">
        <v>90.59999999999999</v>
      </c>
      <c r="J2376" s="5" t="n">
        <v>121.9</v>
      </c>
      <c r="K2376" s="3" t="inlineStr">
        <is>
          <t>세종 도심 10분대, 하천 조망 갗춘 진입로 지분 포함 자연형 토지</t>
        </is>
      </c>
      <c r="L2376" s="6">
        <f>HYPERLINK("https://fin.land.naver.com/articles/2655034179", "매물Link")</f>
        <v/>
      </c>
      <c r="M2376" s="6">
        <f>HYPERLINK("https://map.naver.com/p/search/장군면 봉안리 4-21", "지도Link")</f>
        <v/>
      </c>
      <c r="N2376" s="6">
        <f>HYPERLINK("http://www.eum.go.kr/web/ar/lu/luLandDet.jsp?pnu=3611035024100040021&amp;isNoScr=script&amp;mode=search", "토지이음")</f>
        <v/>
      </c>
      <c r="O2376" s="3" t="inlineStr">
        <is>
          <t>세종소담황금</t>
        </is>
      </c>
      <c r="P2376" s="4" t="n">
        <v>1</v>
      </c>
      <c r="Q2376" s="4" t="n">
        <v>815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4-38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35000</v>
      </c>
      <c r="G2377" s="4" t="n">
        <v>878</v>
      </c>
      <c r="H2377" s="4" t="n">
        <v>266</v>
      </c>
      <c r="I2377" s="5" t="n">
        <v>131.6</v>
      </c>
      <c r="J2377" s="5" t="n">
        <v>75.09999999999999</v>
      </c>
      <c r="K2377" s="3" t="inlineStr">
        <is>
          <t>세종 신도시 인접 대교천 뷰가 있는 전원주택지 매매</t>
        </is>
      </c>
      <c r="L2377" s="6">
        <f>HYPERLINK("https://fin.land.naver.com/articles/2656159028", "매물Link")</f>
        <v/>
      </c>
      <c r="M2377" s="6">
        <f>HYPERLINK("https://map.naver.com/p/search/장군면 봉안리 4-38", "지도Link")</f>
        <v/>
      </c>
      <c r="N2377" s="6">
        <f>HYPERLINK("http://www.eum.go.kr/web/ar/lu/luLandDet.jsp?pnu=3611035024100040038&amp;isNoScr=script&amp;mode=search", "토지이음")</f>
        <v/>
      </c>
      <c r="O2377" s="3" t="inlineStr">
        <is>
          <t>세종비전행정사</t>
        </is>
      </c>
      <c r="P2377" s="4" t="n">
        <v>1</v>
      </c>
      <c r="Q2377" s="4" t="n">
        <v>878</v>
      </c>
      <c r="R2377" s="3" t="inlineStr">
        <is>
          <t>지정되지않음</t>
        </is>
      </c>
      <c r="S2377" s="3" t="inlineStr">
        <is>
          <t>전기타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445-1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112400</v>
      </c>
      <c r="G2378" s="4" t="n">
        <v>929</v>
      </c>
      <c r="H2378" s="4" t="n">
        <v>281</v>
      </c>
      <c r="I2378" s="5" t="n">
        <v>400</v>
      </c>
      <c r="J2378" s="5" t="n">
        <v>309</v>
      </c>
      <c r="K2378" s="3" t="inlineStr">
        <is>
          <t>세종시 장군면 도로접한 대지</t>
        </is>
      </c>
      <c r="L2378" s="6">
        <f>HYPERLINK("https://fin.land.naver.com/articles/2651784772", "매물Link")</f>
        <v/>
      </c>
      <c r="M2378" s="6">
        <f>HYPERLINK("https://map.naver.com/p/search/장군면 봉안리 445-1", "지도Link")</f>
        <v/>
      </c>
      <c r="N2378" s="6">
        <f>HYPERLINK("http://www.eum.go.kr/web/ar/lu/luLandDet.jsp?pnu=3611035024104450001&amp;isNoScr=script&amp;mode=search",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607</v>
      </c>
      <c r="R2378" s="3" t="inlineStr">
        <is>
          <t>지정되지않음</t>
        </is>
      </c>
      <c r="S2378" s="3" t="inlineStr">
        <is>
          <t>단독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장군면 봉안리 447-15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91300</v>
      </c>
      <c r="G2379" s="4" t="n">
        <v>2012</v>
      </c>
      <c r="H2379" s="4" t="n">
        <v>609</v>
      </c>
      <c r="I2379" s="5" t="n">
        <v>149.9</v>
      </c>
      <c r="J2379" s="5" t="n">
        <v>41.1</v>
      </c>
      <c r="K2379" s="3" t="inlineStr">
        <is>
          <t>세종 장군면 봉안리 장기보유 추천 임야 매매</t>
        </is>
      </c>
      <c r="L2379" s="6">
        <f>HYPERLINK("https://fin.land.naver.com/articles/2652347318", "매물Link")</f>
        <v/>
      </c>
      <c r="M2379" s="6">
        <f>HYPERLINK("https://map.naver.com/p/search/장군면 봉안리 447-15", "지도Link")</f>
        <v/>
      </c>
      <c r="N2379" s="6">
        <f>HYPERLINK("http://www.eum.go.kr/web/ar/lu/luLandDet.jsp?pnu=3611035024104470015&amp;isNoScr=script&amp;mode=search", "토지이음")</f>
        <v/>
      </c>
      <c r="O2379" s="3" t="inlineStr">
        <is>
          <t>세종몽땅</t>
        </is>
      </c>
      <c r="P2379" s="4" t="n">
        <v>1</v>
      </c>
      <c r="Q2379" s="4" t="n">
        <v>2012</v>
      </c>
      <c r="R2379" s="3" t="inlineStr">
        <is>
          <t>지정되지않음</t>
        </is>
      </c>
      <c r="S2379" s="3" t="inlineStr">
        <is>
          <t>토지임야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447-16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79000</v>
      </c>
      <c r="G2380" s="4" t="n">
        <v>1734</v>
      </c>
      <c r="H2380" s="4" t="n">
        <v>525</v>
      </c>
      <c r="I2380" s="5" t="n">
        <v>150.5</v>
      </c>
      <c r="J2380" s="5" t="n">
        <v>41.5</v>
      </c>
      <c r="K2380" s="3" t="inlineStr">
        <is>
          <t>세종 장군면 봉안리 장기보유 추천 임야</t>
        </is>
      </c>
      <c r="L2380" s="6">
        <f>HYPERLINK("https://fin.land.naver.com/articles/2652346274", "매물Link")</f>
        <v/>
      </c>
      <c r="M2380" s="6">
        <f>HYPERLINK("https://map.naver.com/p/search/장군면 봉안리 447-16", "지도Link")</f>
        <v/>
      </c>
      <c r="N2380" s="6">
        <f>HYPERLINK("http://www.eum.go.kr/web/ar/lu/luLandDet.jsp?pnu=3611035024104470016&amp;isNoScr=script&amp;mode=search", "토지이음")</f>
        <v/>
      </c>
      <c r="O2380" s="3" t="inlineStr">
        <is>
          <t>세종몽땅</t>
        </is>
      </c>
      <c r="P2380" s="4" t="n">
        <v>1</v>
      </c>
      <c r="Q2380" s="4" t="n">
        <v>1734</v>
      </c>
      <c r="R2380" s="3" t="inlineStr">
        <is>
          <t>지정되지않음</t>
        </is>
      </c>
      <c r="S2380" s="3" t="inlineStr">
        <is>
          <t>토지임야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447-6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90000</v>
      </c>
      <c r="G2381" s="4" t="n">
        <v>1983</v>
      </c>
      <c r="H2381" s="4" t="n">
        <v>600</v>
      </c>
      <c r="I2381" s="5" t="n">
        <v>150</v>
      </c>
      <c r="J2381" s="5" t="n">
        <v>46.6</v>
      </c>
      <c r="K2381" s="3" t="inlineStr">
        <is>
          <t>세종시 장군면 토지 매매</t>
        </is>
      </c>
      <c r="L2381" s="6">
        <f>HYPERLINK("https://fin.land.naver.com/articles/2652351410", "매물Link")</f>
        <v/>
      </c>
      <c r="M2381" s="6">
        <f>HYPERLINK("https://map.naver.com/p/search/장군면 봉안리 447-6", "지도Link")</f>
        <v/>
      </c>
      <c r="N2381" s="6">
        <f>HYPERLINK("http://www.eum.go.kr/web/ar/lu/luLandDet.jsp?pnu=3611035024104470006&amp;isNoScr=script&amp;mode=search", "토지이음")</f>
        <v/>
      </c>
      <c r="O2381" s="3" t="inlineStr">
        <is>
          <t>세종몽땅</t>
        </is>
      </c>
      <c r="P2381" s="4" t="n">
        <v>1</v>
      </c>
      <c r="Q2381" s="4" t="n">
        <v>1983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소로한면</t>
        </is>
      </c>
    </row>
    <row r="2382">
      <c r="A2382" s="3" t="inlineStr">
        <is>
          <t>장군면 봉안리 451-26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36000</v>
      </c>
      <c r="G2382" s="4" t="n">
        <v>393</v>
      </c>
      <c r="H2382" s="4" t="n">
        <v>119</v>
      </c>
      <c r="I2382" s="5" t="n">
        <v>302.5</v>
      </c>
      <c r="J2382" s="5" t="n">
        <v>203.4</v>
      </c>
      <c r="K2382" s="3" t="inlineStr">
        <is>
          <t>봉안리 잘조성된 전원주택지</t>
        </is>
      </c>
      <c r="L2382" s="6">
        <f>HYPERLINK("https://fin.land.naver.com/articles/2654061366", "매물Link")</f>
        <v/>
      </c>
      <c r="M2382" s="6">
        <f>HYPERLINK("https://map.naver.com/p/search/장군면 봉안리 451-26", "지도Link")</f>
        <v/>
      </c>
      <c r="N2382" s="6">
        <f>HYPERLINK("http://www.eum.go.kr/web/ar/lu/luLandDet.jsp?pnu=3611035024104510026&amp;isNoScr=script&amp;mode=search", "토지이음")</f>
        <v/>
      </c>
      <c r="O2382" s="3" t="inlineStr">
        <is>
          <t>세종천지</t>
        </is>
      </c>
      <c r="P2382" s="4" t="n">
        <v>1</v>
      </c>
      <c r="Q2382" s="4" t="n">
        <v>393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세로각지(가)</t>
        </is>
      </c>
    </row>
    <row r="2383">
      <c r="A2383" s="3" t="inlineStr">
        <is>
          <t>장군면 봉안리 46-8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400000</v>
      </c>
      <c r="G2383" s="4" t="n">
        <v>6893</v>
      </c>
      <c r="H2383" s="4" t="n">
        <v>2085</v>
      </c>
      <c r="I2383" s="5" t="n">
        <v>191.8</v>
      </c>
      <c r="J2383" s="5" t="n">
        <v>109.6</v>
      </c>
      <c r="K2383" s="3" t="inlineStr">
        <is>
          <t>세종 장군면 봉안리 임야 15필지 약 2,085p, 일괄.분할매매 협의</t>
        </is>
      </c>
      <c r="L2383" s="6">
        <f>HYPERLINK("https://fin.land.naver.com/articles/2652377190", "매물Link")</f>
        <v/>
      </c>
      <c r="M2383" s="6">
        <f>HYPERLINK("https://map.naver.com/p/search/장군면 봉안리 46-8", "지도Link")</f>
        <v/>
      </c>
      <c r="N2383" s="6">
        <f>HYPERLINK("http://www.eum.go.kr/web/ar/lu/luLandDet.jsp?pnu=3611035024100460008&amp;isNoScr=script&amp;mode=search", "토지이음")</f>
        <v/>
      </c>
      <c r="O2383" s="3" t="inlineStr">
        <is>
          <t>월드</t>
        </is>
      </c>
      <c r="P2383" s="4" t="n">
        <v>1</v>
      </c>
      <c r="Q2383" s="4" t="n">
        <v>667</v>
      </c>
      <c r="R2383" s="3" t="inlineStr">
        <is>
          <t>지정되지않음</t>
        </is>
      </c>
      <c r="S2383" s="3" t="inlineStr">
        <is>
          <t>전기타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465-7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355500</v>
      </c>
      <c r="G2384" s="4" t="n">
        <v>2352</v>
      </c>
      <c r="H2384" s="4" t="n">
        <v>711</v>
      </c>
      <c r="I2384" s="5" t="n">
        <v>500</v>
      </c>
      <c r="J2384" s="5" t="n">
        <v>110.1</v>
      </c>
      <c r="K2384" s="3" t="inlineStr">
        <is>
          <t>봉안리 2차선 도로에 접한땅</t>
        </is>
      </c>
      <c r="L2384" s="6">
        <f>HYPERLINK("https://fin.land.naver.com/articles/2652185776", "매물Link")</f>
        <v/>
      </c>
      <c r="M2384" s="6">
        <f>HYPERLINK("https://map.naver.com/p/search/장군면 봉안리 465-7", "지도Link")</f>
        <v/>
      </c>
      <c r="N2384" s="6">
        <f>HYPERLINK("http://www.eum.go.kr/web/ar/lu/luLandDet.jsp?pnu=3611035024104650007&amp;isNoScr=script&amp;mode=search",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2352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사다리형</t>
        </is>
      </c>
      <c r="V2384" s="3" t="inlineStr">
        <is>
          <t>소로각지</t>
        </is>
      </c>
    </row>
    <row r="2385">
      <c r="A2385" s="3" t="inlineStr">
        <is>
          <t>장군면 봉안리 48-1</t>
        </is>
      </c>
      <c r="B2385" s="3" t="inlineStr">
        <is>
          <t>계획관리지역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78750</v>
      </c>
      <c r="G2385" s="4" t="n">
        <v>744</v>
      </c>
      <c r="H2385" s="4" t="n">
        <v>225</v>
      </c>
      <c r="I2385" s="5" t="n">
        <v>350</v>
      </c>
      <c r="J2385" s="5" t="n">
        <v>140.4</v>
      </c>
      <c r="K2385" s="3" t="inlineStr">
        <is>
          <t>세종정부청사 5분거리 계획관리지역 전</t>
        </is>
      </c>
      <c r="L2385" s="6">
        <f>HYPERLINK("https://fin.land.naver.com/articles/2654064068", "매물Link")</f>
        <v/>
      </c>
      <c r="M2385" s="6">
        <f>HYPERLINK("https://map.naver.com/p/search/장군면 봉안리 48-1", "지도Link")</f>
        <v/>
      </c>
      <c r="N2385" s="6">
        <f>HYPERLINK("http://www.eum.go.kr/web/ar/lu/luLandDet.jsp?pnu=3611035024100480001&amp;isNoScr=script&amp;mode=search",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744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57-4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2098000</v>
      </c>
      <c r="G2386" s="4" t="n">
        <v>17348</v>
      </c>
      <c r="H2386" s="4" t="n">
        <v>5248</v>
      </c>
      <c r="I2386" s="5" t="n">
        <v>399.8</v>
      </c>
      <c r="J2386" s="5" t="n">
        <v>85.5</v>
      </c>
      <c r="K2386" s="3" t="inlineStr">
        <is>
          <t>nan</t>
        </is>
      </c>
      <c r="L2386" s="6">
        <f>HYPERLINK("https://fin.land.naver.com/articles/2655414672", "매물Link")</f>
        <v/>
      </c>
      <c r="M2386" s="6">
        <f>HYPERLINK("https://map.naver.com/p/search/장군면 봉안리 57-4", "지도Link")</f>
        <v/>
      </c>
      <c r="N2386" s="6">
        <f>HYPERLINK("http://www.eum.go.kr/web/ar/lu/luLandDet.jsp?pnu=3611035024100570004&amp;isNoScr=script&amp;mode=search", "토지이음")</f>
        <v/>
      </c>
      <c r="O2386" s="3" t="inlineStr">
        <is>
          <t>위례오늘</t>
        </is>
      </c>
      <c r="P2386" s="4" t="n">
        <v>1</v>
      </c>
      <c r="Q2386" s="4" t="n">
        <v>17348</v>
      </c>
      <c r="R2386" s="3" t="inlineStr">
        <is>
          <t>보전관리지역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575-3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72000</v>
      </c>
      <c r="G2387" s="4" t="n">
        <v>582</v>
      </c>
      <c r="H2387" s="4" t="n">
        <v>176</v>
      </c>
      <c r="I2387" s="5" t="n">
        <v>409.1</v>
      </c>
      <c r="J2387" s="5" t="n">
        <v>128.8</v>
      </c>
      <c r="K2387" s="3" t="inlineStr">
        <is>
          <t>세종시원안옆 상가주택적지</t>
        </is>
      </c>
      <c r="L2387" s="6">
        <f>HYPERLINK("https://fin.land.naver.com/articles/2656213221", "매물Link")</f>
        <v/>
      </c>
      <c r="M2387" s="6">
        <f>HYPERLINK("https://map.naver.com/p/search/장군면 봉안리 575-3", "지도Link")</f>
        <v/>
      </c>
      <c r="N2387" s="6">
        <f>HYPERLINK("http://www.eum.go.kr/web/ar/lu/luLandDet.jsp?pnu=3611035024105750003&amp;isNoScr=script&amp;mode=search", "토지이음")</f>
        <v/>
      </c>
      <c r="O2387" s="3" t="inlineStr">
        <is>
          <t>세종천지</t>
        </is>
      </c>
      <c r="P2387" s="4" t="n">
        <v>2</v>
      </c>
      <c r="Q2387" s="4" t="n">
        <v>582</v>
      </c>
      <c r="R2387" s="3" t="inlineStr">
        <is>
          <t>지정되지않음</t>
        </is>
      </c>
      <c r="S2387" s="3" t="inlineStr">
        <is>
          <t>전기타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575-9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85000</v>
      </c>
      <c r="G2388" s="4" t="n">
        <v>732</v>
      </c>
      <c r="H2388" s="4" t="n">
        <v>221</v>
      </c>
      <c r="I2388" s="5" t="n">
        <v>384.6</v>
      </c>
      <c r="J2388" s="5" t="n">
        <v>128.8</v>
      </c>
      <c r="K2388" s="3" t="inlineStr">
        <is>
          <t>세종시내를 바라볼수 있는 높은지대의 조망이 좋은 계획관리지역 투자용 토지</t>
        </is>
      </c>
      <c r="L2388" s="6">
        <f>HYPERLINK("https://fin.land.naver.com/articles/2655801114", "매물Link")</f>
        <v/>
      </c>
      <c r="M2388" s="6">
        <f>HYPERLINK("https://map.naver.com/p/search/장군면 봉안리 575-9", "지도Link")</f>
        <v/>
      </c>
      <c r="N2388" s="6">
        <f>HYPERLINK("http://www.eum.go.kr/web/ar/lu/luLandDet.jsp?pnu=3611035024105750009&amp;isNoScr=script&amp;mode=search", "토지이음")</f>
        <v/>
      </c>
      <c r="O2388" s="3" t="inlineStr">
        <is>
          <t>스마일세종</t>
        </is>
      </c>
      <c r="P2388" s="4" t="n">
        <v>3</v>
      </c>
      <c r="Q2388" s="4" t="n">
        <v>636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봉안리 575-9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85000</v>
      </c>
      <c r="G2389" s="4" t="n">
        <v>732</v>
      </c>
      <c r="H2389" s="4" t="n">
        <v>221</v>
      </c>
      <c r="I2389" s="5" t="n">
        <v>384.6</v>
      </c>
      <c r="J2389" s="5" t="n">
        <v>128.8</v>
      </c>
      <c r="K2389" s="3" t="inlineStr">
        <is>
          <t>계획관리,단독주택,사무실,카페,식당,물류택배창고 등 다목적용도 가능</t>
        </is>
      </c>
      <c r="L2389" s="6">
        <f>HYPERLINK("https://fin.land.naver.com/articles/2653435156", "매물Link")</f>
        <v/>
      </c>
      <c r="M2389" s="6">
        <f>HYPERLINK("https://map.naver.com/p/search/장군면 봉안리 575-9", "지도Link")</f>
        <v/>
      </c>
      <c r="N2389" s="6">
        <f>HYPERLINK("http://www.eum.go.kr/web/ar/lu/luLandDet.jsp?pnu=3611035024105750009&amp;isNoScr=script&amp;mode=search", "토지이음")</f>
        <v/>
      </c>
      <c r="O2389" s="3" t="inlineStr">
        <is>
          <t>고운맘</t>
        </is>
      </c>
      <c r="P2389" s="4" t="n">
        <v>1</v>
      </c>
      <c r="Q2389" s="4" t="n">
        <v>636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575-9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85000</v>
      </c>
      <c r="G2390" s="4" t="n">
        <v>732</v>
      </c>
      <c r="H2390" s="4" t="n">
        <v>221</v>
      </c>
      <c r="I2390" s="5" t="n">
        <v>384.6</v>
      </c>
      <c r="J2390" s="5" t="n">
        <v>128.8</v>
      </c>
      <c r="K2390" s="3" t="inlineStr">
        <is>
          <t>도로접 투자용 전원주택부지 생활형체험농장 부지 지목 임야</t>
        </is>
      </c>
      <c r="L2390" s="6">
        <f>HYPERLINK("https://fin.land.naver.com/articles/2652729633", "매물Link")</f>
        <v/>
      </c>
      <c r="M2390" s="6">
        <f>HYPERLINK("https://map.naver.com/p/search/장군면 봉안리 575-9", "지도Link")</f>
        <v/>
      </c>
      <c r="N2390" s="6">
        <f>HYPERLINK("http://www.eum.go.kr/web/ar/lu/luLandDet.jsp?pnu=3611035024105750009&amp;isNoScr=script&amp;mode=search", "토지이음")</f>
        <v/>
      </c>
      <c r="O2390" s="3" t="inlineStr">
        <is>
          <t>세종이룸</t>
        </is>
      </c>
      <c r="P2390" s="4" t="n">
        <v>1</v>
      </c>
      <c r="Q2390" s="4" t="n">
        <v>636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65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200000</v>
      </c>
      <c r="G2391" s="4" t="n">
        <v>1742</v>
      </c>
      <c r="H2391" s="4" t="n">
        <v>527</v>
      </c>
      <c r="I2391" s="5" t="n">
        <v>379.5</v>
      </c>
      <c r="J2391" s="5" t="n">
        <v>140.4</v>
      </c>
      <c r="K2391" s="3" t="inlineStr">
        <is>
          <t>봉안리 도로접한 토지매매</t>
        </is>
      </c>
      <c r="L2391" s="6">
        <f>HYPERLINK("https://fin.land.naver.com/articles/2650911299", "매물Link")</f>
        <v/>
      </c>
      <c r="M2391" s="6">
        <f>HYPERLINK("https://map.naver.com/p/search/장군면 봉안리 65", "지도Link")</f>
        <v/>
      </c>
      <c r="N2391" s="6">
        <f>HYPERLINK("http://www.eum.go.kr/web/ar/lu/luLandDet.jsp?pnu=3611035024100650000&amp;isNoScr=script&amp;mode=search", "토지이음")</f>
        <v/>
      </c>
      <c r="O2391" s="3" t="inlineStr">
        <is>
          <t>연합</t>
        </is>
      </c>
      <c r="P2391" s="4" t="n">
        <v>1</v>
      </c>
      <c r="Q2391" s="4" t="n">
        <v>790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봉안리 66-9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35000</v>
      </c>
      <c r="G2392" s="4" t="n">
        <v>577</v>
      </c>
      <c r="H2392" s="4" t="n">
        <v>175</v>
      </c>
      <c r="I2392" s="5" t="n">
        <v>200</v>
      </c>
      <c r="J2392" s="5" t="n">
        <v>152.1</v>
      </c>
      <c r="K2392" s="3" t="inlineStr">
        <is>
          <t>행정복합도시에 인접한 부근에 위치한 전원주택지임</t>
        </is>
      </c>
      <c r="L2392" s="6">
        <f>HYPERLINK("https://fin.land.naver.com/articles/2652112134", "매물Link")</f>
        <v/>
      </c>
      <c r="M2392" s="6">
        <f>HYPERLINK("https://map.naver.com/p/search/장군면 봉안리 66-9", "지도Link")</f>
        <v/>
      </c>
      <c r="N2392" s="6">
        <f>HYPERLINK("http://www.eum.go.kr/web/ar/lu/luLandDet.jsp?pnu=3611035024100660009&amp;isNoScr=script&amp;mode=search", "토지이음")</f>
        <v/>
      </c>
      <c r="O2392" s="3" t="inlineStr">
        <is>
          <t>교차로</t>
        </is>
      </c>
      <c r="P2392" s="4" t="n">
        <v>1</v>
      </c>
      <c r="Q2392" s="4" t="n">
        <v>516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봉안리 84</t>
        </is>
      </c>
      <c r="B2393" s="3" t="inlineStr">
        <is>
          <t>계획관리지역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369000</v>
      </c>
      <c r="G2393" s="4" t="n">
        <v>4060</v>
      </c>
      <c r="H2393" s="4" t="n">
        <v>1228</v>
      </c>
      <c r="I2393" s="5" t="n">
        <v>300.5</v>
      </c>
      <c r="J2393" s="5" t="n">
        <v>170.9</v>
      </c>
      <c r="K2393" s="3" t="inlineStr">
        <is>
          <t>장군면 전,답으로 구성된 계획관리토지,도로접함,</t>
        </is>
      </c>
      <c r="L2393" s="6">
        <f>HYPERLINK("https://fin.land.naver.com/articles/2651054045", "매물Link")</f>
        <v/>
      </c>
      <c r="M2393" s="6">
        <f>HYPERLINK("https://map.naver.com/p/search/장군면 봉안리 84", "지도Link")</f>
        <v/>
      </c>
      <c r="N2393" s="6">
        <f>HYPERLINK("http://www.eum.go.kr/web/ar/lu/luLandDet.jsp?pnu=3611035024100840000&amp;isNoScr=script&amp;mode=search",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2840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사다리형</t>
        </is>
      </c>
      <c r="V2393" s="3" t="inlineStr">
        <is>
          <t>세로각지(가)</t>
        </is>
      </c>
    </row>
    <row r="2394">
      <c r="A2394" s="3" t="inlineStr">
        <is>
          <t>장군면 봉안리 98-1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2500000</v>
      </c>
      <c r="G2394" s="4" t="n">
        <v>16522</v>
      </c>
      <c r="H2394" s="4" t="n">
        <v>4998</v>
      </c>
      <c r="I2394" s="5" t="n">
        <v>500.2</v>
      </c>
      <c r="J2394" s="5" t="n">
        <v>62</v>
      </c>
      <c r="K2394" s="3" t="inlineStr">
        <is>
          <t>계획관리지역, 임야 250억 매매, 대출 가능</t>
        </is>
      </c>
      <c r="L2394" s="6">
        <f>HYPERLINK("https://fin.land.naver.com/articles/2655598347", "매물Link")</f>
        <v/>
      </c>
      <c r="M2394" s="6">
        <f>HYPERLINK("https://map.naver.com/p/search/장군면 봉안리 98-1", "지도Link")</f>
        <v/>
      </c>
      <c r="N2394" s="6">
        <f>HYPERLINK("http://www.eum.go.kr/web/ar/lu/luLandDet.jsp?pnu=3611035024100980001&amp;isNoScr=script&amp;mode=search", "토지이음")</f>
        <v/>
      </c>
      <c r="O2394" s="3" t="inlineStr">
        <is>
          <t>케이에스</t>
        </is>
      </c>
      <c r="P2394" s="4" t="n">
        <v>1</v>
      </c>
      <c r="Q2394" s="4" t="n">
        <v>8315</v>
      </c>
      <c r="R2394" s="3" t="inlineStr">
        <is>
          <t>지정되지않음</t>
        </is>
      </c>
      <c r="S2394" s="3" t="inlineStr">
        <is>
          <t>토지임야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세로한면(불)</t>
        </is>
      </c>
    </row>
    <row r="2395">
      <c r="A2395" s="3" t="inlineStr">
        <is>
          <t>장군면 봉안리 98-1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1250000</v>
      </c>
      <c r="G2395" s="4" t="n">
        <v>16522</v>
      </c>
      <c r="H2395" s="4" t="n">
        <v>4998</v>
      </c>
      <c r="I2395" s="5" t="n">
        <v>250.1</v>
      </c>
      <c r="J2395" s="5" t="n">
        <v>62</v>
      </c>
      <c r="K2395" s="3" t="inlineStr">
        <is>
          <t>지대높고 접근성좋고 도로사정좋은 올계획관리 토지매매합니다</t>
        </is>
      </c>
      <c r="L2395" s="6">
        <f>HYPERLINK("https://fin.land.naver.com/articles/2656252473", "매물Link")</f>
        <v/>
      </c>
      <c r="M2395" s="6">
        <f>HYPERLINK("https://map.naver.com/p/search/장군면 봉안리 98-1", "지도Link")</f>
        <v/>
      </c>
      <c r="N2395" s="6">
        <f>HYPERLINK("http://www.eum.go.kr/web/ar/lu/luLandDet.jsp?pnu=3611035024100980001&amp;isNoScr=script&amp;mode=search", "토지이음")</f>
        <v/>
      </c>
      <c r="O2395" s="3" t="inlineStr">
        <is>
          <t>복댕이</t>
        </is>
      </c>
      <c r="P2395" s="4" t="n">
        <v>1</v>
      </c>
      <c r="Q2395" s="4" t="n">
        <v>8315</v>
      </c>
      <c r="R2395" s="3" t="inlineStr">
        <is>
          <t>지정되지않음</t>
        </is>
      </c>
      <c r="S2395" s="3" t="inlineStr">
        <is>
          <t>토지임야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봉안리 산20</t>
        </is>
      </c>
      <c r="B2396" s="3" t="inlineStr">
        <is>
          <t>계획관리지역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90000</v>
      </c>
      <c r="G2396" s="4" t="n">
        <v>1004</v>
      </c>
      <c r="H2396" s="4" t="n">
        <v>304</v>
      </c>
      <c r="I2396" s="5" t="n">
        <v>296.1</v>
      </c>
      <c r="J2396" s="5" t="n">
        <v>76.59999999999999</v>
      </c>
      <c r="K2396" s="3" t="inlineStr">
        <is>
          <t>세종시내가 한눈에 보이는 봉안리 마을포장도로에 접한 계획관리지역의 야산</t>
        </is>
      </c>
      <c r="L2396" s="6">
        <f>HYPERLINK("https://fin.land.naver.com/articles/2652185193", "매물Link")</f>
        <v/>
      </c>
      <c r="M2396" s="6">
        <f>HYPERLINK("https://map.naver.com/p/search/장군면 봉안리 산20", "지도Link")</f>
        <v/>
      </c>
      <c r="N2396" s="6">
        <f>HYPERLINK("http://www.eum.go.kr/web/ar/lu/luLandDet.jsp?pnu=3611035024200200000&amp;isNoScr=script&amp;mode=search", "토지이음")</f>
        <v/>
      </c>
      <c r="O2396" s="3" t="inlineStr">
        <is>
          <t>스마일세종</t>
        </is>
      </c>
      <c r="P2396" s="4" t="n">
        <v>1</v>
      </c>
      <c r="Q2396" s="4" t="n">
        <v>829</v>
      </c>
      <c r="R2396" s="3" t="inlineStr">
        <is>
          <t>지정되지않음</t>
        </is>
      </c>
      <c r="S2396" s="3" t="inlineStr">
        <is>
          <t>자연림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맹지</t>
        </is>
      </c>
    </row>
    <row r="2397">
      <c r="A2397" s="3" t="inlineStr">
        <is>
          <t>장군면 산학리 105-1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33000</v>
      </c>
      <c r="G2397" s="4" t="n">
        <v>578</v>
      </c>
      <c r="H2397" s="4" t="n">
        <v>175</v>
      </c>
      <c r="I2397" s="5" t="n">
        <v>188.6</v>
      </c>
      <c r="J2397" s="5" t="n">
        <v>40.8</v>
      </c>
      <c r="K2397" s="3" t="inlineStr">
        <is>
          <t>모양좋은 계획관리 토지,6m도로접, 행복도시 반경 15분이내거리</t>
        </is>
      </c>
      <c r="L2397" s="6">
        <f>HYPERLINK("https://fin.land.naver.com/articles/2653506205", "매물Link")</f>
        <v/>
      </c>
      <c r="M2397" s="6">
        <f>HYPERLINK("https://map.naver.com/p/search/장군면 산학리 105-1", "지도Link")</f>
        <v/>
      </c>
      <c r="N2397" s="6">
        <f>HYPERLINK("http://www.eum.go.kr/web/ar/lu/luLandDet.jsp?pnu=3611035028101050001&amp;isNoScr=script&amp;mode=search", "토지이음")</f>
        <v/>
      </c>
      <c r="O2397" s="3" t="inlineStr">
        <is>
          <t>세종복댕이</t>
        </is>
      </c>
      <c r="P2397" s="4" t="n">
        <v>1</v>
      </c>
      <c r="Q2397" s="4" t="n">
        <v>507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산학리 105-4</t>
        </is>
      </c>
      <c r="B2398" s="3" t="inlineStr">
        <is>
          <t>계획관리지역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39000</v>
      </c>
      <c r="G2398" s="4" t="n">
        <v>495</v>
      </c>
      <c r="H2398" s="4" t="n">
        <v>150</v>
      </c>
      <c r="I2398" s="5" t="n">
        <v>260</v>
      </c>
      <c r="J2398" s="5" t="n">
        <v>65.59999999999999</v>
      </c>
      <c r="K2398" s="3" t="inlineStr">
        <is>
          <t>급매,근생단독건물,월세나오는 건물</t>
        </is>
      </c>
      <c r="L2398" s="6">
        <f>HYPERLINK("https://fin.land.naver.com/articles/2650912295", "매물Link")</f>
        <v/>
      </c>
      <c r="M2398" s="6">
        <f>HYPERLINK("https://map.naver.com/p/search/장군면 산학리 105-4", "지도Link")</f>
        <v/>
      </c>
      <c r="N2398" s="6">
        <f>HYPERLINK("http://www.eum.go.kr/web/ar/lu/luLandDet.jsp?pnu=3611035028101050004&amp;isNoScr=script&amp;mode=search", "토지이음")</f>
        <v/>
      </c>
      <c r="O2398" s="3" t="inlineStr">
        <is>
          <t>세종복댕이</t>
        </is>
      </c>
      <c r="P2398" s="4" t="n">
        <v>1</v>
      </c>
      <c r="Q2398" s="4" t="n">
        <v>412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산학리 115</t>
        </is>
      </c>
      <c r="B2399" s="3" t="inlineStr">
        <is>
          <t>계획관리지역</t>
        </is>
      </c>
      <c r="C2399" s="3" t="inlineStr">
        <is>
          <t>대</t>
        </is>
      </c>
      <c r="D2399" s="3" t="inlineStr">
        <is>
          <t>대</t>
        </is>
      </c>
      <c r="E2399" s="3" t="inlineStr">
        <is>
          <t>매매</t>
        </is>
      </c>
      <c r="F2399" s="4" t="n">
        <v>45000</v>
      </c>
      <c r="G2399" s="4" t="n">
        <v>902</v>
      </c>
      <c r="H2399" s="4" t="n">
        <v>273</v>
      </c>
      <c r="I2399" s="5" t="n">
        <v>164.8</v>
      </c>
      <c r="J2399" s="5" t="n">
        <v>64.90000000000001</v>
      </c>
      <c r="K2399" s="3" t="inlineStr">
        <is>
          <t>장군면 산학리 대지272.8p 계획관리,자연취락, 주택,근생 추천</t>
        </is>
      </c>
      <c r="L2399" s="6">
        <f>HYPERLINK("https://fin.land.naver.com/articles/2655580935", "매물Link")</f>
        <v/>
      </c>
      <c r="M2399" s="6">
        <f>HYPERLINK("https://map.naver.com/p/search/장군면 산학리 115", "지도Link")</f>
        <v/>
      </c>
      <c r="N2399" s="6">
        <f>HYPERLINK("http://www.eum.go.kr/web/ar/lu/luLandDet.jsp?pnu=3611035028101150000&amp;isNoScr=script&amp;mode=search", "토지이음")</f>
        <v/>
      </c>
      <c r="O2399" s="3" t="inlineStr">
        <is>
          <t>큰손매교역</t>
        </is>
      </c>
      <c r="P2399" s="4" t="n">
        <v>1</v>
      </c>
      <c r="Q2399" s="4" t="n">
        <v>902</v>
      </c>
      <c r="R2399" s="3" t="inlineStr">
        <is>
          <t>지정되지않음</t>
        </is>
      </c>
      <c r="S2399" s="3" t="inlineStr">
        <is>
          <t>단독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세로한면(불)</t>
        </is>
      </c>
    </row>
    <row r="2400">
      <c r="A2400" s="3" t="inlineStr">
        <is>
          <t>장군면 산학리 118</t>
        </is>
      </c>
      <c r="B2400" s="3" t="inlineStr">
        <is>
          <t>계획관리지역</t>
        </is>
      </c>
      <c r="C2400" s="3" t="inlineStr">
        <is>
          <t>목장용지</t>
        </is>
      </c>
      <c r="D2400" s="3" t="inlineStr">
        <is>
          <t>목장용지</t>
        </is>
      </c>
      <c r="E2400" s="3" t="inlineStr">
        <is>
          <t>매매</t>
        </is>
      </c>
      <c r="F2400" s="4" t="n">
        <v>19800</v>
      </c>
      <c r="G2400" s="4" t="n">
        <v>225</v>
      </c>
      <c r="H2400" s="4" t="n">
        <v>68</v>
      </c>
      <c r="I2400" s="5" t="n">
        <v>291.2</v>
      </c>
      <c r="J2400" s="5" t="n">
        <v>44</v>
      </c>
      <c r="K2400" s="3" t="inlineStr">
        <is>
          <t>도로접해 있고 지대가 높아 단독 주택지로 추천</t>
        </is>
      </c>
      <c r="L2400" s="6">
        <f>HYPERLINK("https://fin.land.naver.com/articles/2653426073", "매물Link")</f>
        <v/>
      </c>
      <c r="M2400" s="6">
        <f>HYPERLINK("https://map.naver.com/p/search/장군면 산학리 118", "지도Link")</f>
        <v/>
      </c>
      <c r="N2400" s="6">
        <f>HYPERLINK("http://www.eum.go.kr/web/ar/lu/luLandDet.jsp?pnu=3611035028101180000&amp;isNoScr=script&amp;mode=search", "토지이음")</f>
        <v/>
      </c>
      <c r="O2400" s="3" t="inlineStr">
        <is>
          <t>담뜰</t>
        </is>
      </c>
      <c r="P2400" s="4" t="n">
        <v>1</v>
      </c>
      <c r="Q2400" s="4" t="n">
        <v>225</v>
      </c>
      <c r="R2400" s="3" t="inlineStr">
        <is>
          <t>지정되지않음</t>
        </is>
      </c>
      <c r="S2400" s="3" t="inlineStr">
        <is>
          <t>답축사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산학리 139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290000</v>
      </c>
      <c r="G2401" s="4" t="n">
        <v>892</v>
      </c>
      <c r="H2401" s="4" t="n">
        <v>270</v>
      </c>
      <c r="I2401" s="5" t="n">
        <v>1074.1</v>
      </c>
      <c r="J2401" s="5" t="n">
        <v>249.7</v>
      </c>
      <c r="K2401" s="3" t="inlineStr">
        <is>
          <t>도로접 주차공간 갖춘 2층 근생 일괄매매</t>
        </is>
      </c>
      <c r="L2401" s="6">
        <f>HYPERLINK("https://fin.land.naver.com/articles/2655072231", "매물Link")</f>
        <v/>
      </c>
      <c r="M2401" s="6">
        <f>HYPERLINK("https://map.naver.com/p/search/장군면 산학리 139", "지도Link")</f>
        <v/>
      </c>
      <c r="N2401" s="6">
        <f>HYPERLINK("http://www.eum.go.kr/web/ar/lu/luLandDet.jsp?pnu=3611035028101390000&amp;isNoScr=script&amp;mode=search", "토지이음")</f>
        <v/>
      </c>
      <c r="O2401" s="3" t="inlineStr">
        <is>
          <t>세종소담황금</t>
        </is>
      </c>
      <c r="P2401" s="4" t="n">
        <v>1</v>
      </c>
      <c r="Q2401" s="4" t="n">
        <v>896</v>
      </c>
      <c r="R2401" s="3" t="inlineStr">
        <is>
          <t>지정되지않음</t>
        </is>
      </c>
      <c r="S2401" s="3" t="inlineStr">
        <is>
          <t>상업용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소로한면</t>
        </is>
      </c>
    </row>
    <row r="2402">
      <c r="A2402" s="3" t="inlineStr">
        <is>
          <t>장군면 산학리 140-12</t>
        </is>
      </c>
      <c r="B2402" s="3" t="inlineStr">
        <is>
          <t>계획관리지역</t>
        </is>
      </c>
      <c r="C2402" s="3" t="inlineStr">
        <is>
          <t>잡종지</t>
        </is>
      </c>
      <c r="D2402" s="3" t="inlineStr">
        <is>
          <t>대</t>
        </is>
      </c>
      <c r="E2402" s="3" t="inlineStr">
        <is>
          <t>매매</t>
        </is>
      </c>
      <c r="F2402" s="4" t="n">
        <v>700000</v>
      </c>
      <c r="G2402" s="4" t="n">
        <v>6807</v>
      </c>
      <c r="H2402" s="4" t="n">
        <v>2059</v>
      </c>
      <c r="I2402" s="5" t="n">
        <v>340</v>
      </c>
      <c r="J2402" s="5" t="n">
        <v>172.3</v>
      </c>
      <c r="K2402" s="3" t="inlineStr">
        <is>
          <t>26개 필지로 구성</t>
        </is>
      </c>
      <c r="L2402" s="6">
        <f>HYPERLINK("https://fin.land.naver.com/articles/2653353127", "매물Link")</f>
        <v/>
      </c>
      <c r="M2402" s="6">
        <f>HYPERLINK("https://map.naver.com/p/search/장군면 산학리 140-12", "지도Link")</f>
        <v/>
      </c>
      <c r="N2402" s="6">
        <f>HYPERLINK("http://www.eum.go.kr/web/ar/lu/luLandDet.jsp?pnu=3611035028101400012&amp;isNoScr=script&amp;mode=search", "토지이음")</f>
        <v/>
      </c>
      <c r="O2402" s="3" t="inlineStr">
        <is>
          <t>황제</t>
        </is>
      </c>
      <c r="P2402" s="4" t="n">
        <v>1</v>
      </c>
      <c r="Q2402" s="4" t="n">
        <v>287</v>
      </c>
      <c r="R2402" s="3" t="inlineStr">
        <is>
          <t>지정되지않음</t>
        </is>
      </c>
      <c r="S2402" s="3" t="inlineStr">
        <is>
          <t>단독</t>
        </is>
      </c>
      <c r="T2402" s="3" t="inlineStr">
        <is>
          <t>평지</t>
        </is>
      </c>
      <c r="U2402" s="3" t="inlineStr">
        <is>
          <t>가로장방</t>
        </is>
      </c>
      <c r="V2402" s="3" t="inlineStr">
        <is>
          <t>세로한면(가)</t>
        </is>
      </c>
    </row>
    <row r="2403">
      <c r="A2403" s="3" t="inlineStr">
        <is>
          <t>장군면 산학리 173-4</t>
        </is>
      </c>
      <c r="B2403" s="3" t="inlineStr">
        <is>
          <t>농림지역</t>
        </is>
      </c>
      <c r="C2403" s="3" t="inlineStr">
        <is>
          <t>잡종지</t>
        </is>
      </c>
      <c r="D2403" s="3" t="inlineStr">
        <is>
          <t>잡종지</t>
        </is>
      </c>
      <c r="E2403" s="3" t="inlineStr">
        <is>
          <t>매매</t>
        </is>
      </c>
      <c r="F2403" s="4" t="n">
        <v>265000</v>
      </c>
      <c r="G2403" s="4" t="n">
        <v>2915</v>
      </c>
      <c r="H2403" s="4" t="n">
        <v>882</v>
      </c>
      <c r="I2403" s="5" t="n">
        <v>300.5</v>
      </c>
      <c r="J2403" s="5" t="n">
        <v>59.2</v>
      </c>
      <c r="K2403" s="3" t="inlineStr">
        <is>
          <t>잡종지,서세종ic인접.세종청사4km.농업진흥구역.농업관련판매시설 가능</t>
        </is>
      </c>
      <c r="L2403" s="6">
        <f>HYPERLINK("https://fin.land.naver.com/articles/2651737405", "매물Link")</f>
        <v/>
      </c>
      <c r="M2403" s="6">
        <f>HYPERLINK("https://map.naver.com/p/search/장군면 산학리 173-4", "지도Link")</f>
        <v/>
      </c>
      <c r="N2403" s="6">
        <f>HYPERLINK("http://www.eum.go.kr/web/ar/lu/luLandDet.jsp?pnu=3611035028101730004&amp;isNoScr=script&amp;mode=search", "토지이음")</f>
        <v/>
      </c>
      <c r="O2403" s="3" t="inlineStr">
        <is>
          <t>온담</t>
        </is>
      </c>
      <c r="P2403" s="4" t="n">
        <v>1</v>
      </c>
      <c r="Q2403" s="4" t="n">
        <v>2915</v>
      </c>
      <c r="R2403" s="3" t="inlineStr">
        <is>
          <t>지정되지않음</t>
        </is>
      </c>
      <c r="S2403" s="3" t="inlineStr">
        <is>
          <t>답기타</t>
        </is>
      </c>
      <c r="T2403" s="3" t="inlineStr">
        <is>
          <t>평지</t>
        </is>
      </c>
      <c r="U2403" s="3" t="inlineStr">
        <is>
          <t>가로장방</t>
        </is>
      </c>
      <c r="V2403" s="3" t="inlineStr">
        <is>
          <t>소로각지</t>
        </is>
      </c>
    </row>
    <row r="2404">
      <c r="A2404" s="3" t="inlineStr">
        <is>
          <t>장군면 산학리 192-2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137000</v>
      </c>
      <c r="G2404" s="4" t="n">
        <v>3025</v>
      </c>
      <c r="H2404" s="4" t="n">
        <v>915</v>
      </c>
      <c r="I2404" s="5" t="n">
        <v>149.7</v>
      </c>
      <c r="J2404" s="5" t="n">
        <v>47.4</v>
      </c>
      <c r="K2404" s="3" t="inlineStr">
        <is>
          <t>대토로 추천하는 포장도로 접한 농림지역 농지입니다.</t>
        </is>
      </c>
      <c r="L2404" s="6">
        <f>HYPERLINK("https://fin.land.naver.com/articles/2652100354", "매물Link")</f>
        <v/>
      </c>
      <c r="M2404" s="6">
        <f>HYPERLINK("https://map.naver.com/p/search/장군면 산학리 192-2", "지도Link")</f>
        <v/>
      </c>
      <c r="N2404" s="6">
        <f>HYPERLINK("http://www.eum.go.kr/web/ar/lu/luLandDet.jsp?pnu=3611035028101920002&amp;isNoScr=script&amp;mode=search", "토지이음")</f>
        <v/>
      </c>
      <c r="O2404" s="3" t="inlineStr">
        <is>
          <t>미스터홈즈강남지사</t>
        </is>
      </c>
      <c r="P2404" s="4" t="n">
        <v>1</v>
      </c>
      <c r="Q2404" s="4" t="n">
        <v>3025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산학리 196-2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146000</v>
      </c>
      <c r="G2405" s="4" t="n">
        <v>4825</v>
      </c>
      <c r="H2405" s="4" t="n">
        <v>1460</v>
      </c>
      <c r="I2405" s="5" t="n">
        <v>100</v>
      </c>
      <c r="J2405" s="5" t="n">
        <v>47.4</v>
      </c>
      <c r="K2405" s="3" t="inlineStr">
        <is>
          <t>세종시 농지매매</t>
        </is>
      </c>
      <c r="L2405" s="6">
        <f>HYPERLINK("https://fin.land.naver.com/articles/2652868806", "매물Link")</f>
        <v/>
      </c>
      <c r="M2405" s="6">
        <f>HYPERLINK("https://map.naver.com/p/search/장군면 산학리 196-2", "지도Link")</f>
        <v/>
      </c>
      <c r="N2405" s="6">
        <f>HYPERLINK("http://www.eum.go.kr/web/ar/lu/luLandDet.jsp?pnu=3611035028101960002&amp;isNoScr=script&amp;mode=search", "토지이음")</f>
        <v/>
      </c>
      <c r="O2405" s="3" t="inlineStr">
        <is>
          <t>에이스</t>
        </is>
      </c>
      <c r="P2405" s="4" t="n">
        <v>1</v>
      </c>
      <c r="Q2405" s="4" t="n">
        <v>1780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산학리 200-2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89400</v>
      </c>
      <c r="G2406" s="4" t="n">
        <v>2955</v>
      </c>
      <c r="H2406" s="4" t="n">
        <v>894</v>
      </c>
      <c r="I2406" s="5" t="n">
        <v>100</v>
      </c>
      <c r="J2406" s="5" t="n">
        <v>47.4</v>
      </c>
      <c r="K2406" s="3" t="inlineStr">
        <is>
          <t>행복도시 인접 금액좋은 농림지역 답.</t>
        </is>
      </c>
      <c r="L2406" s="6">
        <f>HYPERLINK("https://fin.land.naver.com/articles/2654272985", "매물Link")</f>
        <v/>
      </c>
      <c r="M2406" s="6">
        <f>HYPERLINK("https://map.naver.com/p/search/장군면 산학리 200-2", "지도Link")</f>
        <v/>
      </c>
      <c r="N2406" s="6">
        <f>HYPERLINK("http://www.eum.go.kr/web/ar/lu/luLandDet.jsp?pnu=3611035028102000002&amp;isNoScr=script&amp;mode=search", "토지이음")</f>
        <v/>
      </c>
      <c r="O2406" s="3" t="inlineStr">
        <is>
          <t>미스터홈즈강남지사</t>
        </is>
      </c>
      <c r="P2406" s="4" t="n">
        <v>2</v>
      </c>
      <c r="Q2406" s="4" t="n">
        <v>2955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산학리 228-2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45595</v>
      </c>
      <c r="G2407" s="4" t="n">
        <v>2740</v>
      </c>
      <c r="H2407" s="4" t="n">
        <v>829</v>
      </c>
      <c r="I2407" s="5" t="n">
        <v>55</v>
      </c>
      <c r="J2407" s="5" t="n">
        <v>47.8</v>
      </c>
      <c r="K2407" s="3" t="inlineStr">
        <is>
          <t>세종시에 연접한 급매물건</t>
        </is>
      </c>
      <c r="L2407" s="6">
        <f>HYPERLINK("https://fin.land.naver.com/articles/2653340440", "매물Link")</f>
        <v/>
      </c>
      <c r="M2407" s="6">
        <f>HYPERLINK("https://map.naver.com/p/search/장군면 산학리 228-2", "지도Link")</f>
        <v/>
      </c>
      <c r="N2407" s="6">
        <f>HYPERLINK("http://www.eum.go.kr/web/ar/lu/luLandDet.jsp?pnu=3611035028102280002&amp;isNoScr=script&amp;mode=search", "토지이음")</f>
        <v/>
      </c>
      <c r="O2407" s="3" t="inlineStr">
        <is>
          <t>상상</t>
        </is>
      </c>
      <c r="P2407" s="4" t="n">
        <v>2</v>
      </c>
      <c r="Q2407" s="4" t="n">
        <v>2740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산학리 289-2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75000</v>
      </c>
      <c r="G2408" s="4" t="n">
        <v>1204</v>
      </c>
      <c r="H2408" s="4" t="n">
        <v>364</v>
      </c>
      <c r="I2408" s="5" t="n">
        <v>206</v>
      </c>
      <c r="J2408" s="5" t="n">
        <v>142.9</v>
      </c>
      <c r="K2408" s="3" t="inlineStr">
        <is>
          <t>2차선 도로접한 토지매매</t>
        </is>
      </c>
      <c r="L2408" s="6">
        <f>HYPERLINK("https://fin.land.naver.com/articles/2652868616", "매물Link")</f>
        <v/>
      </c>
      <c r="M2408" s="6">
        <f>HYPERLINK("https://map.naver.com/p/search/장군면 산학리 289-2", "지도Link")</f>
        <v/>
      </c>
      <c r="N2408" s="6">
        <f>HYPERLINK("http://www.eum.go.kr/web/ar/lu/luLandDet.jsp?pnu=3611035028102890002&amp;isNoScr=script&amp;mode=search",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132</v>
      </c>
      <c r="R2408" s="3" t="inlineStr">
        <is>
          <t>지정되지않음</t>
        </is>
      </c>
      <c r="S2408" s="3" t="inlineStr">
        <is>
          <t>주거기타</t>
        </is>
      </c>
      <c r="T2408" s="3" t="inlineStr">
        <is>
          <t>평지</t>
        </is>
      </c>
      <c r="U2408" s="3" t="inlineStr">
        <is>
          <t>사다리형</t>
        </is>
      </c>
      <c r="V2408" s="3" t="inlineStr">
        <is>
          <t>세로한면(불)</t>
        </is>
      </c>
    </row>
    <row r="2409">
      <c r="A2409" s="3" t="inlineStr">
        <is>
          <t>장군면 산학리 348-1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20000</v>
      </c>
      <c r="G2409" s="4" t="n">
        <v>336</v>
      </c>
      <c r="H2409" s="4" t="n">
        <v>102</v>
      </c>
      <c r="I2409" s="5" t="n">
        <v>196.1</v>
      </c>
      <c r="J2409" s="5" t="n">
        <v>85.09999999999999</v>
      </c>
      <c r="K2409" s="3" t="inlineStr">
        <is>
          <t>세종시 인근 계획관리 토지로 근린상가, 창고, 식당부지로 개발가능한 땅</t>
        </is>
      </c>
      <c r="L2409" s="6">
        <f>HYPERLINK("https://fin.land.naver.com/articles/2654295906", "매물Link")</f>
        <v/>
      </c>
      <c r="M2409" s="6">
        <f>HYPERLINK("https://map.naver.com/p/search/장군면 산학리 348-1", "지도Link")</f>
        <v/>
      </c>
      <c r="N2409" s="6">
        <f>HYPERLINK("http://www.eum.go.kr/web/ar/lu/luLandDet.jsp?pnu=3611035028103480001&amp;isNoScr=script&amp;mode=search", "토지이음")</f>
        <v/>
      </c>
      <c r="O2409" s="3" t="inlineStr">
        <is>
          <t>신한국</t>
        </is>
      </c>
      <c r="P2409" s="4" t="n">
        <v>1</v>
      </c>
      <c r="Q2409" s="4" t="n">
        <v>107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산학리 351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150000</v>
      </c>
      <c r="G2410" s="4" t="n">
        <v>4963</v>
      </c>
      <c r="H2410" s="4" t="n">
        <v>1501</v>
      </c>
      <c r="I2410" s="5" t="n">
        <v>99.90000000000001</v>
      </c>
      <c r="J2410" s="5" t="n">
        <v>31.4</v>
      </c>
      <c r="K2410" s="3" t="inlineStr">
        <is>
          <t>세종시 최인접 토지</t>
        </is>
      </c>
      <c r="L2410" s="6">
        <f>HYPERLINK("https://fin.land.naver.com/articles/2652260810", "매물Link")</f>
        <v/>
      </c>
      <c r="M2410" s="6">
        <f>HYPERLINK("https://map.naver.com/p/search/장군면 산학리 351", "지도Link")</f>
        <v/>
      </c>
      <c r="N2410" s="6">
        <f>HYPERLINK("http://www.eum.go.kr/web/ar/lu/luLandDet.jsp?pnu=3611035028103510000&amp;isNoScr=script&amp;mode=search", "토지이음")</f>
        <v/>
      </c>
      <c r="O2410" s="3" t="inlineStr">
        <is>
          <t>새땅</t>
        </is>
      </c>
      <c r="P2410" s="4" t="n">
        <v>1</v>
      </c>
      <c r="Q2410" s="4" t="n">
        <v>585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가로장방</t>
        </is>
      </c>
      <c r="V2410" s="3" t="inlineStr">
        <is>
          <t>맹지</t>
        </is>
      </c>
    </row>
    <row r="2411">
      <c r="A2411" s="3" t="inlineStr">
        <is>
          <t>장군면 산학리 393</t>
        </is>
      </c>
      <c r="B2411" s="3" t="inlineStr">
        <is>
          <t>생산관리지역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18000</v>
      </c>
      <c r="G2411" s="4" t="n">
        <v>783</v>
      </c>
      <c r="H2411" s="4" t="n">
        <v>237</v>
      </c>
      <c r="I2411" s="5" t="n">
        <v>75.90000000000001</v>
      </c>
      <c r="J2411" s="5" t="n">
        <v>34</v>
      </c>
      <c r="K2411" s="3" t="inlineStr">
        <is>
          <t>장군면 산학리 도로에길게접한 전</t>
        </is>
      </c>
      <c r="L2411" s="6">
        <f>HYPERLINK("https://fin.land.naver.com/articles/2653835305", "매물Link")</f>
        <v/>
      </c>
      <c r="M2411" s="6">
        <f>HYPERLINK("https://map.naver.com/p/search/장군면 산학리 393", "지도Link")</f>
        <v/>
      </c>
      <c r="N2411" s="6">
        <f>HYPERLINK("http://www.eum.go.kr/web/ar/lu/luLandDet.jsp?pnu=3611035028103930000&amp;isNoScr=script&amp;mode=search",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783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산학리 397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대</t>
        </is>
      </c>
      <c r="E2412" s="3" t="inlineStr">
        <is>
          <t>매매</t>
        </is>
      </c>
      <c r="F2412" s="4" t="n">
        <v>25000</v>
      </c>
      <c r="G2412" s="4" t="n">
        <v>774</v>
      </c>
      <c r="H2412" s="4" t="n">
        <v>234</v>
      </c>
      <c r="I2412" s="5" t="n">
        <v>106.8</v>
      </c>
      <c r="J2412" s="5" t="n">
        <v>45</v>
      </c>
      <c r="K2412" s="3" t="inlineStr">
        <is>
          <t>도심과 가까우면서도 조용, 청정지역</t>
        </is>
      </c>
      <c r="L2412" s="6">
        <f>HYPERLINK("https://fin.land.naver.com/articles/2652683134", "매물Link")</f>
        <v/>
      </c>
      <c r="M2412" s="6">
        <f>HYPERLINK("https://map.naver.com/p/search/장군면 산학리 397", "지도Link")</f>
        <v/>
      </c>
      <c r="N2412" s="6">
        <f>HYPERLINK("http://www.eum.go.kr/web/ar/lu/luLandDet.jsp?pnu=3611035028103970000&amp;isNoScr=script&amp;mode=search", "토지이음")</f>
        <v/>
      </c>
      <c r="O2412" s="3" t="inlineStr">
        <is>
          <t>새땅</t>
        </is>
      </c>
      <c r="P2412" s="4" t="n">
        <v>1</v>
      </c>
      <c r="Q2412" s="4" t="n">
        <v>774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산학리 456-1</t>
        </is>
      </c>
      <c r="B2413" s="3" t="inlineStr">
        <is>
          <t>생산관리지역</t>
        </is>
      </c>
      <c r="C2413" s="3" t="inlineStr">
        <is>
          <t>전</t>
        </is>
      </c>
      <c r="D2413" s="3" t="inlineStr">
        <is>
          <t>대</t>
        </is>
      </c>
      <c r="E2413" s="3" t="inlineStr">
        <is>
          <t>매매</t>
        </is>
      </c>
      <c r="F2413" s="4" t="n">
        <v>16000</v>
      </c>
      <c r="G2413" s="4" t="n">
        <v>2062</v>
      </c>
      <c r="H2413" s="4" t="n">
        <v>624</v>
      </c>
      <c r="I2413" s="5" t="n">
        <v>25.6</v>
      </c>
      <c r="J2413" s="5" t="n">
        <v>24.2</v>
      </c>
      <c r="K2413" s="3" t="inlineStr">
        <is>
          <t>nan</t>
        </is>
      </c>
      <c r="L2413" s="6">
        <f>HYPERLINK("https://fin.land.naver.com/articles/2650862819", "매물Link")</f>
        <v/>
      </c>
      <c r="M2413" s="6">
        <f>HYPERLINK("https://map.naver.com/p/search/장군면 산학리 456-1", "지도Link")</f>
        <v/>
      </c>
      <c r="N2413" s="6">
        <f>HYPERLINK("http://www.eum.go.kr/web/ar/lu/luLandDet.jsp?pnu=3611035028104560001&amp;isNoScr=script&amp;mode=search", "토지이음")</f>
        <v/>
      </c>
      <c r="O2413" s="3" t="inlineStr">
        <is>
          <t>새시대</t>
        </is>
      </c>
      <c r="P2413" s="4" t="n">
        <v>1</v>
      </c>
      <c r="Q2413" s="4" t="n">
        <v>922</v>
      </c>
      <c r="R2413" s="3" t="inlineStr">
        <is>
          <t>지정되지않음</t>
        </is>
      </c>
      <c r="S2413" s="3" t="inlineStr">
        <is>
          <t>답기타</t>
        </is>
      </c>
      <c r="T2413" s="3" t="inlineStr">
        <is>
          <t>급경사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장군면 산학리 48-4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90600</v>
      </c>
      <c r="G2414" s="4" t="n">
        <v>1000</v>
      </c>
      <c r="H2414" s="4" t="n">
        <v>302</v>
      </c>
      <c r="I2414" s="5" t="n">
        <v>300</v>
      </c>
      <c r="J2414" s="5" t="n">
        <v>54.2</v>
      </c>
      <c r="K2414" s="3" t="inlineStr">
        <is>
          <t>도로 접한 예쁜 토지 매매,영평사 근처로 카페나 상가 추천 드려요</t>
        </is>
      </c>
      <c r="L2414" s="6">
        <f>HYPERLINK("https://fin.land.naver.com/articles/2655507014", "매물Link")</f>
        <v/>
      </c>
      <c r="M2414" s="6">
        <f>HYPERLINK("https://map.naver.com/p/search/장군면 산학리 48-4", "지도Link")</f>
        <v/>
      </c>
      <c r="N2414" s="6">
        <f>HYPERLINK("http://www.eum.go.kr/web/ar/lu/luLandDet.jsp?pnu=3611035028100480004&amp;isNoScr=script&amp;mode=search", "토지이음")</f>
        <v/>
      </c>
      <c r="O2414" s="3" t="inlineStr">
        <is>
          <t>태양투</t>
        </is>
      </c>
      <c r="P2414" s="4" t="n">
        <v>1</v>
      </c>
      <c r="Q2414" s="4" t="n">
        <v>1000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소로한면</t>
        </is>
      </c>
    </row>
    <row r="2415">
      <c r="A2415" s="3" t="inlineStr">
        <is>
          <t>장군면 산학리 61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169000</v>
      </c>
      <c r="G2415" s="4" t="n">
        <v>3279</v>
      </c>
      <c r="H2415" s="4" t="n">
        <v>992</v>
      </c>
      <c r="I2415" s="5" t="n">
        <v>170.4</v>
      </c>
      <c r="J2415" s="5" t="n">
        <v>57</v>
      </c>
      <c r="K2415" s="3" t="inlineStr">
        <is>
          <t>영평사 인근 계획관리지역 토지매매</t>
        </is>
      </c>
      <c r="L2415" s="6">
        <f>HYPERLINK("https://fin.land.naver.com/articles/2652869679", "매물Link")</f>
        <v/>
      </c>
      <c r="M2415" s="6">
        <f>HYPERLINK("https://map.naver.com/p/search/장군면 산학리 61", "지도Link")</f>
        <v/>
      </c>
      <c r="N2415" s="6">
        <f>HYPERLINK("http://www.eum.go.kr/web/ar/lu/luLandDet.jsp?pnu=3611035028100610000&amp;isNoScr=script&amp;mode=search",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3279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맹지</t>
        </is>
      </c>
    </row>
    <row r="2416">
      <c r="A2416" s="3" t="inlineStr">
        <is>
          <t>장군면 산학리 62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110000</v>
      </c>
      <c r="G2416" s="4" t="n">
        <v>2655</v>
      </c>
      <c r="H2416" s="4" t="n">
        <v>803</v>
      </c>
      <c r="I2416" s="5" t="n">
        <v>137</v>
      </c>
      <c r="J2416" s="5" t="n">
        <v>57</v>
      </c>
      <c r="K2416" s="3" t="inlineStr">
        <is>
          <t>영평사 인근 계획관리지역 토지매매</t>
        </is>
      </c>
      <c r="L2416" s="6">
        <f>HYPERLINK("https://fin.land.naver.com/articles/2652869060", "매물Link")</f>
        <v/>
      </c>
      <c r="M2416" s="6">
        <f>HYPERLINK("https://map.naver.com/p/search/장군면 산학리 62", "지도Link")</f>
        <v/>
      </c>
      <c r="N2416" s="6">
        <f>HYPERLINK("http://www.eum.go.kr/web/ar/lu/luLandDet.jsp?pnu=3611035028100620000&amp;isNoScr=script&amp;mode=search",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2655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맹지</t>
        </is>
      </c>
    </row>
    <row r="2417">
      <c r="A2417" s="3" t="inlineStr">
        <is>
          <t>장군면 산학리 66-11</t>
        </is>
      </c>
      <c r="B2417" s="3" t="inlineStr">
        <is>
          <t>보전관리지역</t>
        </is>
      </c>
      <c r="C2417" s="3" t="inlineStr">
        <is>
          <t>대</t>
        </is>
      </c>
      <c r="D2417" s="3" t="inlineStr">
        <is>
          <t>대</t>
        </is>
      </c>
      <c r="E2417" s="3" t="inlineStr">
        <is>
          <t>매매</t>
        </is>
      </c>
      <c r="F2417" s="4" t="n">
        <v>65000</v>
      </c>
      <c r="G2417" s="4" t="n">
        <v>800</v>
      </c>
      <c r="H2417" s="4" t="n">
        <v>242</v>
      </c>
      <c r="I2417" s="5" t="n">
        <v>268.6</v>
      </c>
      <c r="J2417" s="5" t="n">
        <v>80.3</v>
      </c>
      <c r="K2417" s="3" t="inlineStr">
        <is>
          <t>주택지 착한가격협의 급어떨까요 위치  인프라 조성 완료 이웃 집 입주했음</t>
        </is>
      </c>
      <c r="L2417" s="6">
        <f>HYPERLINK("https://fin.land.naver.com/articles/2651712496", "매물Link")</f>
        <v/>
      </c>
      <c r="M2417" s="6">
        <f>HYPERLINK("https://map.naver.com/p/search/장군면 산학리 66-11", "지도Link")</f>
        <v/>
      </c>
      <c r="N2417" s="6">
        <f>HYPERLINK("http://www.eum.go.kr/web/ar/lu/luLandDet.jsp?pnu=3611035028100660011&amp;isNoScr=script&amp;mode=search", "토지이음")</f>
        <v/>
      </c>
      <c r="O2417" s="3" t="inlineStr">
        <is>
          <t>세종시삼성래미안</t>
        </is>
      </c>
      <c r="P2417" s="4" t="n">
        <v>1</v>
      </c>
      <c r="Q2417" s="4" t="n">
        <v>523</v>
      </c>
      <c r="R2417" s="3" t="inlineStr">
        <is>
          <t>지정되지않음</t>
        </is>
      </c>
      <c r="S2417" s="3" t="inlineStr">
        <is>
          <t>주거나지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소로한면</t>
        </is>
      </c>
    </row>
    <row r="2418">
      <c r="A2418" s="3" t="inlineStr">
        <is>
          <t>장군면 산학리 96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59000</v>
      </c>
      <c r="G2418" s="4" t="n">
        <v>2817</v>
      </c>
      <c r="H2418" s="4" t="n">
        <v>852</v>
      </c>
      <c r="I2418" s="5" t="n">
        <v>69.2</v>
      </c>
      <c r="J2418" s="5" t="n">
        <v>26.2</v>
      </c>
      <c r="K2418" s="3" t="inlineStr">
        <is>
          <t>급매,도로접한 저렴한 투자용 토지,생산.성장관리지역,가격조정가능</t>
        </is>
      </c>
      <c r="L2418" s="6">
        <f>HYPERLINK("https://fin.land.naver.com/articles/2653434257", "매물Link")</f>
        <v/>
      </c>
      <c r="M2418" s="6">
        <f>HYPERLINK("https://map.naver.com/p/search/장군면 산학리 96", "지도Link")</f>
        <v/>
      </c>
      <c r="N2418" s="6">
        <f>HYPERLINK("http://www.eum.go.kr/web/ar/lu/luLandDet.jsp?pnu=3611035028100960000&amp;isNoScr=script&amp;mode=search", "토지이음")</f>
        <v/>
      </c>
      <c r="O2418" s="3" t="inlineStr">
        <is>
          <t>고운맘</t>
        </is>
      </c>
      <c r="P2418" s="4" t="n">
        <v>1</v>
      </c>
      <c r="Q2418" s="4" t="n">
        <v>2817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가로장방</t>
        </is>
      </c>
      <c r="V2418" s="3" t="inlineStr">
        <is>
          <t>세로한면(불)</t>
        </is>
      </c>
    </row>
    <row r="2419">
      <c r="A2419" s="3" t="inlineStr">
        <is>
          <t>장군면 산학리 산18</t>
        </is>
      </c>
      <c r="B2419" s="3" t="inlineStr">
        <is>
          <t>농림지역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500000</v>
      </c>
      <c r="G2419" s="4" t="n">
        <v>79736</v>
      </c>
      <c r="H2419" s="4" t="n">
        <v>24120</v>
      </c>
      <c r="I2419" s="5" t="n">
        <v>20.7</v>
      </c>
      <c r="J2419" s="5" t="n">
        <v>3.9</v>
      </c>
      <c r="K2419" s="3" t="inlineStr">
        <is>
          <t>세종 영평사 인근 풍수 뛰어난 임야. 종중땅 추천</t>
        </is>
      </c>
      <c r="L2419" s="6">
        <f>HYPERLINK("https://fin.land.naver.com/articles/2655123957", "매물Link")</f>
        <v/>
      </c>
      <c r="M2419" s="6">
        <f>HYPERLINK("https://map.naver.com/p/search/장군면 산학리 산18", "지도Link")</f>
        <v/>
      </c>
      <c r="N2419" s="6">
        <f>HYPERLINK("http://www.eum.go.kr/web/ar/lu/luLandDet.jsp?pnu=3611035028200180000&amp;isNoScr=script&amp;mode=search", "토지이음")</f>
        <v/>
      </c>
      <c r="O2419" s="3" t="inlineStr">
        <is>
          <t>세종금밭</t>
        </is>
      </c>
      <c r="P2419" s="4" t="n">
        <v>1</v>
      </c>
      <c r="Q2419" s="4" t="n">
        <v>79736</v>
      </c>
      <c r="R2419" s="3" t="inlineStr">
        <is>
          <t>보전관리지역</t>
        </is>
      </c>
      <c r="S2419" s="3" t="inlineStr">
        <is>
          <t>자연림</t>
        </is>
      </c>
      <c r="T2419" s="3" t="inlineStr">
        <is>
          <t>급경사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산학리 산18</t>
        </is>
      </c>
      <c r="B2420" s="3" t="inlineStr">
        <is>
          <t>농림지역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500000</v>
      </c>
      <c r="G2420" s="4" t="n">
        <v>79736</v>
      </c>
      <c r="H2420" s="4" t="n">
        <v>24120</v>
      </c>
      <c r="I2420" s="5" t="n">
        <v>20.7</v>
      </c>
      <c r="J2420" s="5" t="n">
        <v>3.9</v>
      </c>
      <c r="K2420" s="3" t="inlineStr">
        <is>
          <t>강가를 바라보는 대형평수 토지 건축가능 시세이하 투자가치좋은 땅</t>
        </is>
      </c>
      <c r="L2420" s="6">
        <f>HYPERLINK("https://fin.land.naver.com/articles/2653464900", "매물Link")</f>
        <v/>
      </c>
      <c r="M2420" s="6">
        <f>HYPERLINK("https://map.naver.com/p/search/장군면 산학리 산18", "지도Link")</f>
        <v/>
      </c>
      <c r="N2420" s="6">
        <f>HYPERLINK("http://www.eum.go.kr/web/ar/lu/luLandDet.jsp?pnu=3611035028200180000&amp;isNoScr=script&amp;mode=search", "토지이음")</f>
        <v/>
      </c>
      <c r="O2420" s="3" t="inlineStr">
        <is>
          <t>신안산</t>
        </is>
      </c>
      <c r="P2420" s="4" t="n">
        <v>3</v>
      </c>
      <c r="Q2420" s="4" t="n">
        <v>79736</v>
      </c>
      <c r="R2420" s="3" t="inlineStr">
        <is>
          <t>보전관리지역</t>
        </is>
      </c>
      <c r="S2420" s="3" t="inlineStr">
        <is>
          <t>자연림</t>
        </is>
      </c>
      <c r="T2420" s="3" t="inlineStr">
        <is>
          <t>급경사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송문리 141-3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42000</v>
      </c>
      <c r="G2421" s="4" t="n">
        <v>660</v>
      </c>
      <c r="H2421" s="4" t="n">
        <v>200</v>
      </c>
      <c r="I2421" s="5" t="n">
        <v>210</v>
      </c>
      <c r="J2421" s="5" t="n">
        <v>79.40000000000001</v>
      </c>
      <c r="K2421" s="3" t="inlineStr">
        <is>
          <t>도로접 계획관리지역 알토란 토지 다용도목적 사용가능</t>
        </is>
      </c>
      <c r="L2421" s="6">
        <f>HYPERLINK("https://fin.land.naver.com/articles/2652746410", "매물Link")</f>
        <v/>
      </c>
      <c r="M2421" s="6">
        <f>HYPERLINK("https://map.naver.com/p/search/장군면 송문리 141-3", "지도Link")</f>
        <v/>
      </c>
      <c r="N2421" s="6">
        <f>HYPERLINK("http://www.eum.go.kr/web/ar/lu/luLandDet.jsp?pnu=3611035029101410003&amp;isNoScr=script&amp;mode=search", "토지이음")</f>
        <v/>
      </c>
      <c r="O2421" s="3" t="inlineStr">
        <is>
          <t>고운맘</t>
        </is>
      </c>
      <c r="P2421" s="4" t="n">
        <v>1</v>
      </c>
      <c r="Q2421" s="4" t="n">
        <v>660</v>
      </c>
      <c r="R2421" s="3" t="inlineStr">
        <is>
          <t>지정되지않음</t>
        </is>
      </c>
      <c r="S2421" s="3" t="inlineStr">
        <is>
          <t>전기타</t>
        </is>
      </c>
      <c r="T2421" s="3" t="inlineStr">
        <is>
          <t>평지</t>
        </is>
      </c>
      <c r="U2421" s="3" t="inlineStr">
        <is>
          <t>가로장방</t>
        </is>
      </c>
      <c r="V2421" s="3" t="inlineStr">
        <is>
          <t>세로한면(가)</t>
        </is>
      </c>
    </row>
    <row r="2422">
      <c r="A2422" s="3" t="inlineStr">
        <is>
          <t>장군면 송문리 236-3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90000</v>
      </c>
      <c r="G2422" s="4" t="n">
        <v>1944</v>
      </c>
      <c r="H2422" s="4" t="n">
        <v>588</v>
      </c>
      <c r="I2422" s="5" t="n">
        <v>153.1</v>
      </c>
      <c r="J2422" s="5" t="n">
        <v>37.1</v>
      </c>
      <c r="K2422" s="3" t="inlineStr">
        <is>
          <t>장군면 계획관리지역 토지매매</t>
        </is>
      </c>
      <c r="L2422" s="6">
        <f>HYPERLINK("https://fin.land.naver.com/articles/2652027832", "매물Link")</f>
        <v/>
      </c>
      <c r="M2422" s="6">
        <f>HYPERLINK("https://map.naver.com/p/search/장군면 송문리 236-3", "지도Link")</f>
        <v/>
      </c>
      <c r="N2422" s="6">
        <f>HYPERLINK("http://www.eum.go.kr/web/ar/lu/luLandDet.jsp?pnu=3611035029102360003&amp;isNoScr=script&amp;mode=search", "토지이음")</f>
        <v/>
      </c>
      <c r="O2422" s="3" t="inlineStr">
        <is>
          <t>에이스</t>
        </is>
      </c>
      <c r="P2422" s="4" t="n">
        <v>1</v>
      </c>
      <c r="Q2422" s="4" t="n">
        <v>1944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맹지</t>
        </is>
      </c>
    </row>
    <row r="2423">
      <c r="A2423" s="3" t="inlineStr">
        <is>
          <t>장군면 송문리 248-1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120000</v>
      </c>
      <c r="G2423" s="4" t="n">
        <v>2694</v>
      </c>
      <c r="H2423" s="4" t="n">
        <v>815</v>
      </c>
      <c r="I2423" s="5" t="n">
        <v>147.2</v>
      </c>
      <c r="J2423" s="5" t="n">
        <v>53.9</v>
      </c>
      <c r="K2423" s="3" t="inlineStr">
        <is>
          <t>nan</t>
        </is>
      </c>
      <c r="L2423" s="6">
        <f>HYPERLINK("https://fin.land.naver.com/articles/2651401292", "매물Link")</f>
        <v/>
      </c>
      <c r="M2423" s="6">
        <f>HYPERLINK("https://map.naver.com/p/search/장군면 송문리 248-1", "지도Link")</f>
        <v/>
      </c>
      <c r="N2423" s="6">
        <f>HYPERLINK("http://www.eum.go.kr/web/ar/lu/luLandDet.jsp?pnu=3611035029102480001&amp;isNoScr=script&amp;mode=search", "토지이음")</f>
        <v/>
      </c>
      <c r="O2423" s="3" t="inlineStr">
        <is>
          <t>세종지평</t>
        </is>
      </c>
      <c r="P2423" s="4" t="n">
        <v>1</v>
      </c>
      <c r="Q2423" s="4" t="n">
        <v>2694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송문리 249</t>
        </is>
      </c>
      <c r="B2424" s="3" t="inlineStr">
        <is>
          <t>계획관리지역</t>
        </is>
      </c>
      <c r="C2424" s="3" t="inlineStr">
        <is>
          <t>공장용지</t>
        </is>
      </c>
      <c r="D2424" s="3" t="inlineStr">
        <is>
          <t>대</t>
        </is>
      </c>
      <c r="E2424" s="3" t="inlineStr">
        <is>
          <t>매매</t>
        </is>
      </c>
      <c r="F2424" s="4" t="n">
        <v>165000</v>
      </c>
      <c r="G2424" s="4" t="n">
        <v>2456</v>
      </c>
      <c r="H2424" s="4" t="n">
        <v>743</v>
      </c>
      <c r="I2424" s="5" t="n">
        <v>222.1</v>
      </c>
      <c r="J2424" s="5" t="n">
        <v>101.6</v>
      </c>
      <c r="K2424" s="3" t="inlineStr">
        <is>
          <t>nan</t>
        </is>
      </c>
      <c r="L2424" s="6">
        <f>HYPERLINK("https://fin.land.naver.com/articles/2652728753", "매물Link")</f>
        <v/>
      </c>
      <c r="M2424" s="6">
        <f>HYPERLINK("https://map.naver.com/p/search/장군면 송문리 249", "지도Link")</f>
        <v/>
      </c>
      <c r="N2424" s="6">
        <f>HYPERLINK("http://www.eum.go.kr/web/ar/lu/luLandDet.jsp?pnu=3611035029102490000&amp;isNoScr=script&amp;mode=search", "토지이음")</f>
        <v/>
      </c>
      <c r="O2424" s="3" t="inlineStr">
        <is>
          <t>대박</t>
        </is>
      </c>
      <c r="P2424" s="4" t="n">
        <v>1</v>
      </c>
      <c r="Q2424" s="4" t="n">
        <v>2456</v>
      </c>
      <c r="R2424" s="3" t="inlineStr">
        <is>
          <t>지정되지않음</t>
        </is>
      </c>
      <c r="S2424" s="3" t="inlineStr">
        <is>
          <t>공업용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송문리 26-3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48000</v>
      </c>
      <c r="G2425" s="4" t="n">
        <v>932</v>
      </c>
      <c r="H2425" s="4" t="n">
        <v>282</v>
      </c>
      <c r="I2425" s="5" t="n">
        <v>170.2</v>
      </c>
      <c r="J2425" s="5" t="n">
        <v>94.2</v>
      </c>
      <c r="K2425" s="3" t="inlineStr">
        <is>
          <t>생명나무, 초급매 도로낀 계획관리 사각형모양 ,대교천 가까운 토지</t>
        </is>
      </c>
      <c r="L2425" s="6">
        <f>HYPERLINK("https://fin.land.naver.com/articles/2651248453", "매물Link")</f>
        <v/>
      </c>
      <c r="M2425" s="6">
        <f>HYPERLINK("https://map.naver.com/p/search/장군면 송문리 26-3", "지도Link")</f>
        <v/>
      </c>
      <c r="N2425" s="6">
        <f>HYPERLINK("http://www.eum.go.kr/web/ar/lu/luLandDet.jsp?pnu=3611035029100260003&amp;isNoScr=script&amp;mode=search", "토지이음")</f>
        <v/>
      </c>
      <c r="O2425" s="3" t="inlineStr">
        <is>
          <t>생명나무</t>
        </is>
      </c>
      <c r="P2425" s="4" t="n">
        <v>1</v>
      </c>
      <c r="Q2425" s="4" t="n">
        <v>200</v>
      </c>
      <c r="R2425" s="3" t="inlineStr">
        <is>
          <t>지정되지않음</t>
        </is>
      </c>
      <c r="S2425" s="3" t="inlineStr">
        <is>
          <t>주거나지</t>
        </is>
      </c>
      <c r="T2425" s="3" t="inlineStr">
        <is>
          <t>완경사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송문리 26-3</t>
        </is>
      </c>
      <c r="B2426" s="3" t="inlineStr">
        <is>
          <t>계획관리지역</t>
        </is>
      </c>
      <c r="C2426" s="3" t="inlineStr">
        <is>
          <t>대</t>
        </is>
      </c>
      <c r="D2426" s="3" t="inlineStr">
        <is>
          <t>임야</t>
        </is>
      </c>
      <c r="E2426" s="3" t="inlineStr">
        <is>
          <t>매매</t>
        </is>
      </c>
      <c r="F2426" s="4" t="n">
        <v>48000</v>
      </c>
      <c r="G2426" s="4" t="n">
        <v>929</v>
      </c>
      <c r="H2426" s="4" t="n">
        <v>281</v>
      </c>
      <c r="I2426" s="5" t="n">
        <v>170.8</v>
      </c>
      <c r="J2426" s="5" t="n">
        <v>94.2</v>
      </c>
      <c r="K2426" s="3" t="inlineStr">
        <is>
          <t>세종시 장군면 송문리 잘 형성된 전원주택지 시세 이하 급매</t>
        </is>
      </c>
      <c r="L2426" s="6">
        <f>HYPERLINK("https://fin.land.naver.com/articles/2655852349", "매물Link")</f>
        <v/>
      </c>
      <c r="M2426" s="6">
        <f>HYPERLINK("https://map.naver.com/p/search/장군면 송문리 26-3", "지도Link")</f>
        <v/>
      </c>
      <c r="N2426" s="6">
        <f>HYPERLINK("http://www.eum.go.kr/web/ar/lu/luLandDet.jsp?pnu=3611035029100260003&amp;isNoScr=script&amp;mode=search", "토지이음")</f>
        <v/>
      </c>
      <c r="O2426" s="3" t="inlineStr">
        <is>
          <t>나침반</t>
        </is>
      </c>
      <c r="P2426" s="4" t="n">
        <v>1</v>
      </c>
      <c r="Q2426" s="4" t="n">
        <v>200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송문리 281-1</t>
        </is>
      </c>
      <c r="B2427" s="3" t="inlineStr">
        <is>
          <t>보전관리지역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28000</v>
      </c>
      <c r="G2427" s="4" t="n">
        <v>511</v>
      </c>
      <c r="H2427" s="4" t="n">
        <v>155</v>
      </c>
      <c r="I2427" s="5" t="n">
        <v>180.6</v>
      </c>
      <c r="J2427" s="5" t="n">
        <v>80</v>
      </c>
      <c r="K2427" s="3" t="inlineStr">
        <is>
          <t>막힘없는 조망권뷰 최상 전원주택지,가격조정가능</t>
        </is>
      </c>
      <c r="L2427" s="6">
        <f>HYPERLINK("https://fin.land.naver.com/articles/2654645599", "매물Link")</f>
        <v/>
      </c>
      <c r="M2427" s="6">
        <f>HYPERLINK("https://map.naver.com/p/search/장군면 송문리 281-1", "지도Link")</f>
        <v/>
      </c>
      <c r="N2427" s="6">
        <f>HYPERLINK("http://www.eum.go.kr/web/ar/lu/luLandDet.jsp?pnu=3611035029102810001&amp;isNoScr=script&amp;mode=search", "토지이음")</f>
        <v/>
      </c>
      <c r="O2427" s="3" t="inlineStr">
        <is>
          <t>고운맘</t>
        </is>
      </c>
      <c r="P2427" s="4" t="n">
        <v>1</v>
      </c>
      <c r="Q2427" s="4" t="n">
        <v>449</v>
      </c>
      <c r="R2427" s="3" t="inlineStr">
        <is>
          <t>지정되지않음</t>
        </is>
      </c>
      <c r="S2427" s="3" t="inlineStr">
        <is>
          <t>주거기타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송문리 281-32</t>
        </is>
      </c>
      <c r="B2428" s="3" t="inlineStr">
        <is>
          <t>보전관리지역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60000</v>
      </c>
      <c r="G2428" s="4" t="n">
        <v>1412</v>
      </c>
      <c r="H2428" s="4" t="n">
        <v>427</v>
      </c>
      <c r="I2428" s="5" t="n">
        <v>140.5</v>
      </c>
      <c r="J2428" s="5" t="n">
        <v>31.4</v>
      </c>
      <c r="K2428" s="3" t="inlineStr">
        <is>
          <t>장래 유망한 토지</t>
        </is>
      </c>
      <c r="L2428" s="6">
        <f>HYPERLINK("https://fin.land.naver.com/articles/2652262321", "매물Link")</f>
        <v/>
      </c>
      <c r="M2428" s="6">
        <f>HYPERLINK("https://map.naver.com/p/search/장군면 송문리 281-32", "지도Link")</f>
        <v/>
      </c>
      <c r="N2428" s="6">
        <f>HYPERLINK("http://www.eum.go.kr/web/ar/lu/luLandDet.jsp?pnu=3611035029102810032&amp;isNoScr=script&amp;mode=search", "토지이음")</f>
        <v/>
      </c>
      <c r="O2428" s="3" t="inlineStr">
        <is>
          <t>새땅</t>
        </is>
      </c>
      <c r="P2428" s="4" t="n">
        <v>1</v>
      </c>
      <c r="Q2428" s="4" t="n">
        <v>1412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가로장방</t>
        </is>
      </c>
      <c r="V2428" s="3" t="inlineStr">
        <is>
          <t>세로한면(가)</t>
        </is>
      </c>
    </row>
    <row r="2429">
      <c r="A2429" s="3" t="inlineStr">
        <is>
          <t>장군면 송문리 30-5</t>
        </is>
      </c>
      <c r="B2429" s="3" t="inlineStr">
        <is>
          <t>계획관리지역</t>
        </is>
      </c>
      <c r="C2429" s="3" t="inlineStr">
        <is>
          <t>전</t>
        </is>
      </c>
      <c r="D2429" s="3" t="inlineStr">
        <is>
          <t>전</t>
        </is>
      </c>
      <c r="E2429" s="3" t="inlineStr">
        <is>
          <t>매매</t>
        </is>
      </c>
      <c r="F2429" s="4" t="n">
        <v>26000</v>
      </c>
      <c r="G2429" s="4" t="n">
        <v>499</v>
      </c>
      <c r="H2429" s="4" t="n">
        <v>151</v>
      </c>
      <c r="I2429" s="5" t="n">
        <v>172.2</v>
      </c>
      <c r="J2429" s="5" t="n">
        <v>41.8</v>
      </c>
      <c r="K2429" s="3" t="inlineStr">
        <is>
          <t>계획관리, 풍경 좋은  일조권 좋은토지입니다</t>
        </is>
      </c>
      <c r="L2429" s="6">
        <f>HYPERLINK("https://fin.land.naver.com/articles/2655664222", "매물Link")</f>
        <v/>
      </c>
      <c r="M2429" s="6">
        <f>HYPERLINK("https://map.naver.com/p/search/장군면 송문리 30-5", "지도Link")</f>
        <v/>
      </c>
      <c r="N2429" s="6">
        <f>HYPERLINK("http://www.eum.go.kr/web/ar/lu/luLandDet.jsp?pnu=3611035029100300005&amp;isNoScr=script&amp;mode=search", "토지이음")</f>
        <v/>
      </c>
      <c r="O2429" s="3" t="inlineStr">
        <is>
          <t>세종신동아</t>
        </is>
      </c>
      <c r="P2429" s="4" t="n">
        <v>2</v>
      </c>
      <c r="Q2429" s="4" t="n">
        <v>499</v>
      </c>
      <c r="R2429" s="3" t="inlineStr">
        <is>
          <t>지정되지않음</t>
        </is>
      </c>
      <c r="S2429" s="3" t="inlineStr">
        <is>
          <t>전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30-5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26000</v>
      </c>
      <c r="G2430" s="4" t="n">
        <v>499</v>
      </c>
      <c r="H2430" s="4" t="n">
        <v>151</v>
      </c>
      <c r="I2430" s="5" t="n">
        <v>172.2</v>
      </c>
      <c r="J2430" s="5" t="n">
        <v>41.8</v>
      </c>
      <c r="K2430" s="3" t="inlineStr">
        <is>
          <t>완만한 경사 높은 위치로 주변 풍광이 뛰어나고 최상의 전망, 계획관리</t>
        </is>
      </c>
      <c r="L2430" s="6">
        <f>HYPERLINK("https://fin.land.naver.com/articles/2655911302", "매물Link")</f>
        <v/>
      </c>
      <c r="M2430" s="6">
        <f>HYPERLINK("https://map.naver.com/p/search/장군면 송문리 30-5", "지도Link")</f>
        <v/>
      </c>
      <c r="N2430" s="6">
        <f>HYPERLINK("http://www.eum.go.kr/web/ar/lu/luLandDet.jsp?pnu=3611035029100300005&amp;isNoScr=script&amp;mode=search", "토지이음")</f>
        <v/>
      </c>
      <c r="O2430" s="3" t="inlineStr">
        <is>
          <t>온뜰</t>
        </is>
      </c>
      <c r="P2430" s="4" t="n">
        <v>1</v>
      </c>
      <c r="Q2430" s="4" t="n">
        <v>499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송문리 31-1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63900</v>
      </c>
      <c r="G2431" s="4" t="n">
        <v>1408</v>
      </c>
      <c r="H2431" s="4" t="n">
        <v>426</v>
      </c>
      <c r="I2431" s="5" t="n">
        <v>150</v>
      </c>
      <c r="J2431" s="5" t="n">
        <v>63.4</v>
      </c>
      <c r="K2431" s="3" t="inlineStr">
        <is>
          <t>포장도로 접한 계획관리지역 답, 최상의 전망, 지인과 공동 매수 추천</t>
        </is>
      </c>
      <c r="L2431" s="6">
        <f>HYPERLINK("https://fin.land.naver.com/articles/2655656034", "매물Link")</f>
        <v/>
      </c>
      <c r="M2431" s="6">
        <f>HYPERLINK("https://map.naver.com/p/search/장군면 송문리 31-1", "지도Link")</f>
        <v/>
      </c>
      <c r="N2431" s="6">
        <f>HYPERLINK("http://www.eum.go.kr/web/ar/lu/luLandDet.jsp?pnu=3611035029100310001&amp;isNoScr=script&amp;mode=search",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1408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31-1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63900</v>
      </c>
      <c r="G2432" s="4" t="n">
        <v>1408</v>
      </c>
      <c r="H2432" s="4" t="n">
        <v>426</v>
      </c>
      <c r="I2432" s="5" t="n">
        <v>150</v>
      </c>
      <c r="J2432" s="5" t="n">
        <v>63.4</v>
      </c>
      <c r="K2432" s="3" t="inlineStr">
        <is>
          <t>막힘없는 조망권을 자랑하는 남향의 계획관리 급매토지입니다.</t>
        </is>
      </c>
      <c r="L2432" s="6">
        <f>HYPERLINK("https://fin.land.naver.com/articles/2652046487", "매물Link")</f>
        <v/>
      </c>
      <c r="M2432" s="6">
        <f>HYPERLINK("https://map.naver.com/p/search/장군면 송문리 31-1", "지도Link")</f>
        <v/>
      </c>
      <c r="N2432" s="6">
        <f>HYPERLINK("http://www.eum.go.kr/web/ar/lu/luLandDet.jsp?pnu=3611035029100310001&amp;isNoScr=script&amp;mode=search", "토지이음")</f>
        <v/>
      </c>
      <c r="O2432" s="3" t="inlineStr">
        <is>
          <t>미스터홈즈강남지사</t>
        </is>
      </c>
      <c r="P2432" s="4" t="n">
        <v>1</v>
      </c>
      <c r="Q2432" s="4" t="n">
        <v>1408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송문리 355</t>
        </is>
      </c>
      <c r="B2433" s="3" t="inlineStr">
        <is>
          <t>보전관리지역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85000</v>
      </c>
      <c r="G2433" s="4" t="n">
        <v>2532</v>
      </c>
      <c r="H2433" s="4" t="n">
        <v>766</v>
      </c>
      <c r="I2433" s="5" t="n">
        <v>111</v>
      </c>
      <c r="J2433" s="5" t="n">
        <v>31.4</v>
      </c>
      <c r="K2433" s="3" t="inlineStr">
        <is>
          <t>조망감이 산정상에서 휴양하는듯</t>
        </is>
      </c>
      <c r="L2433" s="6">
        <f>HYPERLINK("https://fin.land.naver.com/articles/2651964326", "매물Link")</f>
        <v/>
      </c>
      <c r="M2433" s="6">
        <f>HYPERLINK("https://map.naver.com/p/search/장군면 송문리 355", "지도Link")</f>
        <v/>
      </c>
      <c r="N2433" s="6">
        <f>HYPERLINK("http://www.eum.go.kr/web/ar/lu/luLandDet.jsp?pnu=3611035029103550000&amp;isNoScr=script&amp;mode=search", "토지이음")</f>
        <v/>
      </c>
      <c r="O2433" s="3" t="inlineStr">
        <is>
          <t>용궁</t>
        </is>
      </c>
      <c r="P2433" s="4" t="n">
        <v>1</v>
      </c>
      <c r="Q2433" s="4" t="n">
        <v>1974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송문리 355-11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73000</v>
      </c>
      <c r="G2434" s="4" t="n">
        <v>948</v>
      </c>
      <c r="H2434" s="4" t="n">
        <v>287</v>
      </c>
      <c r="I2434" s="5" t="n">
        <v>254.4</v>
      </c>
      <c r="J2434" s="5" t="n">
        <v>80</v>
      </c>
      <c r="K2434" s="3" t="inlineStr">
        <is>
          <t>nan</t>
        </is>
      </c>
      <c r="L2434" s="6">
        <f>HYPERLINK("https://fin.land.naver.com/articles/2653636969", "매물Link")</f>
        <v/>
      </c>
      <c r="M2434" s="6">
        <f>HYPERLINK("https://map.naver.com/p/search/장군면 송문리 355-11", "지도Link")</f>
        <v/>
      </c>
      <c r="N2434" s="6">
        <f>HYPERLINK("http://www.eum.go.kr/web/ar/lu/luLandDet.jsp?pnu=3611035029103550011&amp;isNoScr=script&amp;mode=search", "토지이음")</f>
        <v/>
      </c>
      <c r="O2434" s="3" t="inlineStr">
        <is>
          <t>고운동리치세종</t>
        </is>
      </c>
      <c r="P2434" s="4" t="n">
        <v>1</v>
      </c>
      <c r="Q2434" s="4" t="n">
        <v>948</v>
      </c>
      <c r="R2434" s="3" t="inlineStr">
        <is>
          <t>지정되지않음</t>
        </is>
      </c>
      <c r="S2434" s="3" t="inlineStr">
        <is>
          <t>주거나지</t>
        </is>
      </c>
      <c r="T2434" s="3" t="inlineStr">
        <is>
          <t>완경사</t>
        </is>
      </c>
      <c r="U2434" s="3" t="inlineStr">
        <is>
          <t>사다리형</t>
        </is>
      </c>
      <c r="V2434" s="3" t="inlineStr">
        <is>
          <t>세로한면(가)</t>
        </is>
      </c>
    </row>
    <row r="2435">
      <c r="A2435" s="3" t="inlineStr">
        <is>
          <t>장군면 송문리 355-37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21000</v>
      </c>
      <c r="G2435" s="4" t="n">
        <v>579</v>
      </c>
      <c r="H2435" s="4" t="n">
        <v>175</v>
      </c>
      <c r="I2435" s="5" t="n">
        <v>120</v>
      </c>
      <c r="J2435" s="5" t="n">
        <v>21.2</v>
      </c>
      <c r="K2435" s="3" t="inlineStr">
        <is>
          <t>상하수도 전기 통신 가능. 매수해두셨다가 편할 때 주택 지으세요</t>
        </is>
      </c>
      <c r="L2435" s="6">
        <f>HYPERLINK("https://fin.land.naver.com/articles/2652033922", "매물Link")</f>
        <v/>
      </c>
      <c r="M2435" s="6">
        <f>HYPERLINK("https://map.naver.com/p/search/장군면 송문리 355-37", "지도Link")</f>
        <v/>
      </c>
      <c r="N2435" s="6">
        <f>HYPERLINK("http://www.eum.go.kr/web/ar/lu/luLandDet.jsp?pnu=3611035029103550037&amp;isNoScr=script&amp;mode=search", "토지이음")</f>
        <v/>
      </c>
      <c r="O2435" s="3" t="inlineStr">
        <is>
          <t>미스터홈즈강남지사</t>
        </is>
      </c>
      <c r="P2435" s="4" t="n">
        <v>1</v>
      </c>
      <c r="Q2435" s="4" t="n">
        <v>579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365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300000</v>
      </c>
      <c r="G2436" s="4" t="n">
        <v>8547</v>
      </c>
      <c r="H2436" s="4" t="n">
        <v>2585</v>
      </c>
      <c r="I2436" s="5" t="n">
        <v>116.1</v>
      </c>
      <c r="J2436" s="5" t="n">
        <v>41.7</v>
      </c>
      <c r="K2436" s="3" t="inlineStr">
        <is>
          <t>경사도 낮은 임야로 주택지로 좋은 곳입니다.</t>
        </is>
      </c>
      <c r="L2436" s="6">
        <f>HYPERLINK("https://fin.land.naver.com/articles/2652120893", "매물Link")</f>
        <v/>
      </c>
      <c r="M2436" s="6">
        <f>HYPERLINK("https://map.naver.com/p/search/장군면 송문리 365", "지도Link")</f>
        <v/>
      </c>
      <c r="N2436" s="6">
        <f>HYPERLINK("http://www.eum.go.kr/web/ar/lu/luLandDet.jsp?pnu=3611035029103650000&amp;isNoScr=script&amp;mode=search",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8547</v>
      </c>
      <c r="R2436" s="3" t="inlineStr">
        <is>
          <t>지정되지않음</t>
        </is>
      </c>
      <c r="S2436" s="3" t="inlineStr">
        <is>
          <t>과수원</t>
        </is>
      </c>
      <c r="T2436" s="3" t="inlineStr">
        <is>
          <t>완경사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송문리 376-1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13000</v>
      </c>
      <c r="G2437" s="4" t="n">
        <v>417</v>
      </c>
      <c r="H2437" s="4" t="n">
        <v>126</v>
      </c>
      <c r="I2437" s="5" t="n">
        <v>103.2</v>
      </c>
      <c r="J2437" s="5" t="n">
        <v>95.2</v>
      </c>
      <c r="K2437" s="3" t="inlineStr">
        <is>
          <t>공시지가로 급매</t>
        </is>
      </c>
      <c r="L2437" s="6">
        <f>HYPERLINK("https://fin.land.naver.com/articles/2653225091", "매물Link")</f>
        <v/>
      </c>
      <c r="M2437" s="6">
        <f>HYPERLINK("https://map.naver.com/p/search/장군면 송문리 376-1", "지도Link")</f>
        <v/>
      </c>
      <c r="N2437" s="6">
        <f>HYPERLINK("http://www.eum.go.kr/web/ar/lu/luLandDet.jsp?pnu=3611035029103760001&amp;isNoScr=script&amp;mode=search", "토지이음")</f>
        <v/>
      </c>
      <c r="O2437" s="3" t="inlineStr">
        <is>
          <t>새땅</t>
        </is>
      </c>
      <c r="P2437" s="4" t="n">
        <v>1</v>
      </c>
      <c r="Q2437" s="4" t="n">
        <v>417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세로각지(가)</t>
        </is>
      </c>
    </row>
    <row r="2438">
      <c r="A2438" s="3" t="inlineStr">
        <is>
          <t>장군면 송문리 377-3</t>
        </is>
      </c>
      <c r="B2438" s="3" t="inlineStr">
        <is>
          <t>계획관리지역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30000</v>
      </c>
      <c r="G2438" s="4" t="n">
        <v>499</v>
      </c>
      <c r="H2438" s="4" t="n">
        <v>151</v>
      </c>
      <c r="I2438" s="5" t="n">
        <v>198.7</v>
      </c>
      <c r="J2438" s="5" t="n">
        <v>100.7</v>
      </c>
      <c r="K2438" s="3" t="inlineStr">
        <is>
          <t>송문리 마을내 구옥있는 토지매매</t>
        </is>
      </c>
      <c r="L2438" s="6">
        <f>HYPERLINK("https://fin.land.naver.com/articles/2652028856", "매물Link")</f>
        <v/>
      </c>
      <c r="M2438" s="6">
        <f>HYPERLINK("https://map.naver.com/p/search/장군면 송문리 377-3", "지도Link")</f>
        <v/>
      </c>
      <c r="N2438" s="6">
        <f>HYPERLINK("http://www.eum.go.kr/web/ar/lu/luLandDet.jsp?pnu=3611035029103770003&amp;isNoScr=script&amp;mode=search",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499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평지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387-15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22000</v>
      </c>
      <c r="G2439" s="4" t="n">
        <v>419</v>
      </c>
      <c r="H2439" s="4" t="n">
        <v>127</v>
      </c>
      <c r="I2439" s="5" t="n">
        <v>173.2</v>
      </c>
      <c r="J2439" s="5" t="n">
        <v>80</v>
      </c>
      <c r="K2439" s="3" t="inlineStr">
        <is>
          <t>서세종IC 5분거리. 행복도시 근거리 인접 세컨하우스 용 토지.근생가능</t>
        </is>
      </c>
      <c r="L2439" s="6">
        <f>HYPERLINK("https://fin.land.naver.com/articles/2651968522", "매물Link")</f>
        <v/>
      </c>
      <c r="M2439" s="6">
        <f>HYPERLINK("https://map.naver.com/p/search/장군면 송문리 387-15", "지도Link")</f>
        <v/>
      </c>
      <c r="N2439" s="6">
        <f>HYPERLINK("http://www.eum.go.kr/web/ar/lu/luLandDet.jsp?pnu=3611035029103870015&amp;isNoScr=script&amp;mode=search", "토지이음")</f>
        <v/>
      </c>
      <c r="O2439" s="3" t="inlineStr">
        <is>
          <t>세종올리브</t>
        </is>
      </c>
      <c r="P2439" s="4" t="n">
        <v>1</v>
      </c>
      <c r="Q2439" s="4" t="n">
        <v>419</v>
      </c>
      <c r="R2439" s="3" t="inlineStr">
        <is>
          <t>지정되지않음</t>
        </is>
      </c>
      <c r="S2439" s="3" t="inlineStr">
        <is>
          <t>주거나지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387-19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대</t>
        </is>
      </c>
      <c r="E2440" s="3" t="inlineStr">
        <is>
          <t>매매</t>
        </is>
      </c>
      <c r="F2440" s="4" t="n">
        <v>22000</v>
      </c>
      <c r="G2440" s="4" t="n">
        <v>296</v>
      </c>
      <c r="H2440" s="4" t="n">
        <v>90</v>
      </c>
      <c r="I2440" s="5" t="n">
        <v>244.4</v>
      </c>
      <c r="J2440" s="5" t="n">
        <v>80</v>
      </c>
      <c r="K2440" s="3" t="inlineStr">
        <is>
          <t>가격조정가.도로접한코너각지.전원주택최적지.송문리마을회관인근.완경사주거나지</t>
        </is>
      </c>
      <c r="L2440" s="6">
        <f>HYPERLINK("https://fin.land.naver.com/articles/2655364669", "매물Link")</f>
        <v/>
      </c>
      <c r="M2440" s="6">
        <f>HYPERLINK("https://map.naver.com/p/search/장군면 송문리 387-19", "지도Link")</f>
        <v/>
      </c>
      <c r="N2440" s="6">
        <f>HYPERLINK("http://www.eum.go.kr/web/ar/lu/luLandDet.jsp?pnu=3611035029103870019&amp;isNoScr=script&amp;mode=search", "토지이음")</f>
        <v/>
      </c>
      <c r="O2440" s="3" t="inlineStr">
        <is>
          <t>돈방석</t>
        </is>
      </c>
      <c r="P2440" s="4" t="n">
        <v>2</v>
      </c>
      <c r="Q2440" s="4" t="n">
        <v>296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세로한면(가)</t>
        </is>
      </c>
    </row>
    <row r="2441">
      <c r="A2441" s="3" t="inlineStr">
        <is>
          <t>장군면 송문리 387-19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21000</v>
      </c>
      <c r="G2441" s="4" t="n">
        <v>348</v>
      </c>
      <c r="H2441" s="4" t="n">
        <v>105</v>
      </c>
      <c r="I2441" s="5" t="n">
        <v>200</v>
      </c>
      <c r="J2441" s="5" t="n">
        <v>80</v>
      </c>
      <c r="K2441" s="3" t="inlineStr">
        <is>
          <t>기반시설 완료한 전원주택지 급매추천</t>
        </is>
      </c>
      <c r="L2441" s="6">
        <f>HYPERLINK("https://fin.land.naver.com/articles/2654060108", "매물Link")</f>
        <v/>
      </c>
      <c r="M2441" s="6">
        <f>HYPERLINK("https://map.naver.com/p/search/장군면 송문리 387-19", "지도Link")</f>
        <v/>
      </c>
      <c r="N2441" s="6">
        <f>HYPERLINK("http://www.eum.go.kr/web/ar/lu/luLandDet.jsp?pnu=3611035029103870019&amp;isNoScr=script&amp;mode=search", "토지이음")</f>
        <v/>
      </c>
      <c r="O2441" s="3" t="inlineStr">
        <is>
          <t>세종소담114</t>
        </is>
      </c>
      <c r="P2441" s="4" t="n">
        <v>1</v>
      </c>
      <c r="Q2441" s="4" t="n">
        <v>296</v>
      </c>
      <c r="R2441" s="3" t="inlineStr">
        <is>
          <t>지정되지않음</t>
        </is>
      </c>
      <c r="S2441" s="3" t="inlineStr">
        <is>
          <t>주거나지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송문리 387-22</t>
        </is>
      </c>
      <c r="B2442" s="3" t="inlineStr">
        <is>
          <t>보전관리지역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20000</v>
      </c>
      <c r="G2442" s="4" t="n">
        <v>473</v>
      </c>
      <c r="H2442" s="4" t="n">
        <v>143</v>
      </c>
      <c r="I2442" s="5" t="n">
        <v>139.9</v>
      </c>
      <c r="J2442" s="5" t="n">
        <v>80</v>
      </c>
      <c r="K2442" s="3" t="inlineStr">
        <is>
          <t>급매, 풍광이 뛰어난 전원주택지, 지목 대, 근생건물 있음</t>
        </is>
      </c>
      <c r="L2442" s="6">
        <f>HYPERLINK("https://fin.land.naver.com/articles/2654546930", "매물Link")</f>
        <v/>
      </c>
      <c r="M2442" s="6">
        <f>HYPERLINK("https://map.naver.com/p/search/장군면 송문리 387-22", "지도Link")</f>
        <v/>
      </c>
      <c r="N2442" s="6">
        <f>HYPERLINK("http://www.eum.go.kr/web/ar/lu/luLandDet.jsp?pnu=3611035029103870022&amp;isNoScr=script&amp;mode=search",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400</v>
      </c>
      <c r="R2442" s="3" t="inlineStr">
        <is>
          <t>지정되지않음</t>
        </is>
      </c>
      <c r="S2442" s="3" t="inlineStr">
        <is>
          <t>주거기타</t>
        </is>
      </c>
      <c r="T2442" s="3" t="inlineStr">
        <is>
          <t>완경사</t>
        </is>
      </c>
      <c r="U2442" s="3" t="inlineStr">
        <is>
          <t>세로장방</t>
        </is>
      </c>
      <c r="V2442" s="3" t="inlineStr">
        <is>
          <t>세로한면(가)</t>
        </is>
      </c>
    </row>
    <row r="2443">
      <c r="A2443" s="3" t="inlineStr">
        <is>
          <t>장군면 송문리 387-25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16500</v>
      </c>
      <c r="G2443" s="4" t="n">
        <v>480</v>
      </c>
      <c r="H2443" s="4" t="n">
        <v>145</v>
      </c>
      <c r="I2443" s="5" t="n">
        <v>113.8</v>
      </c>
      <c r="J2443" s="5" t="n">
        <v>20.6</v>
      </c>
      <c r="K2443" s="3" t="inlineStr">
        <is>
          <t>전원주택지 급하게 매도합니다</t>
        </is>
      </c>
      <c r="L2443" s="6">
        <f>HYPERLINK("https://fin.land.naver.com/articles/2652107820", "매물Link")</f>
        <v/>
      </c>
      <c r="M2443" s="6">
        <f>HYPERLINK("https://map.naver.com/p/search/장군면 송문리 387-25", "지도Link")</f>
        <v/>
      </c>
      <c r="N2443" s="6">
        <f>HYPERLINK("http://www.eum.go.kr/web/ar/lu/luLandDet.jsp?pnu=3611035029103870025&amp;isNoScr=script&amp;mode=search", "토지이음")</f>
        <v/>
      </c>
      <c r="O2443" s="3" t="inlineStr">
        <is>
          <t>미스터홈즈강남지사</t>
        </is>
      </c>
      <c r="P2443" s="4" t="n">
        <v>1</v>
      </c>
      <c r="Q2443" s="4" t="n">
        <v>321</v>
      </c>
      <c r="R2443" s="3" t="inlineStr">
        <is>
          <t>지정되지않음</t>
        </is>
      </c>
      <c r="S2443" s="3" t="inlineStr">
        <is>
          <t>토지임야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387-30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395</v>
      </c>
      <c r="H2444" s="4" t="n">
        <v>119</v>
      </c>
      <c r="I2444" s="5" t="n">
        <v>176.5</v>
      </c>
      <c r="J2444" s="5" t="n">
        <v>21.2</v>
      </c>
      <c r="K2444" s="3" t="inlineStr">
        <is>
          <t>nan</t>
        </is>
      </c>
      <c r="L2444" s="6">
        <f>HYPERLINK("https://fin.land.naver.com/articles/2651972046", "매물Link")</f>
        <v/>
      </c>
      <c r="M2444" s="6">
        <f>HYPERLINK("https://map.naver.com/p/search/장군면 송문리 387-30", "지도Link")</f>
        <v/>
      </c>
      <c r="N2444" s="6">
        <f>HYPERLINK("http://www.eum.go.kr/web/ar/lu/luLandDet.jsp?pnu=3611035029103870030&amp;isNoScr=script&amp;mode=search", "토지이음")</f>
        <v/>
      </c>
      <c r="O2444" s="3" t="inlineStr">
        <is>
          <t>세종올리브</t>
        </is>
      </c>
      <c r="P2444" s="4" t="n">
        <v>2</v>
      </c>
      <c r="Q2444" s="4" t="n">
        <v>395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완경사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387-30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21000</v>
      </c>
      <c r="G2445" s="4" t="n">
        <v>453</v>
      </c>
      <c r="H2445" s="4" t="n">
        <v>137</v>
      </c>
      <c r="I2445" s="5" t="n">
        <v>153.3</v>
      </c>
      <c r="J2445" s="5" t="n">
        <v>21.2</v>
      </c>
      <c r="K2445" s="3" t="inlineStr">
        <is>
          <t>급매, 전원주택지 남향 맨앞면 코너각지 탁 트인뷰</t>
        </is>
      </c>
      <c r="L2445" s="6">
        <f>HYPERLINK("https://fin.land.naver.com/articles/2654547254", "매물Link")</f>
        <v/>
      </c>
      <c r="M2445" s="6">
        <f>HYPERLINK("https://map.naver.com/p/search/장군면 송문리 387-30", "지도Link")</f>
        <v/>
      </c>
      <c r="N2445" s="6">
        <f>HYPERLINK("http://www.eum.go.kr/web/ar/lu/luLandDet.jsp?pnu=3611035029103870030&amp;isNoScr=script&amp;mode=search", "토지이음")</f>
        <v/>
      </c>
      <c r="O2445" s="3" t="inlineStr">
        <is>
          <t>온뜰</t>
        </is>
      </c>
      <c r="P2445" s="4" t="n">
        <v>1</v>
      </c>
      <c r="Q2445" s="4" t="n">
        <v>395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완경사</t>
        </is>
      </c>
      <c r="U2445" s="3" t="inlineStr">
        <is>
          <t>가로장방</t>
        </is>
      </c>
      <c r="V2445" s="3" t="inlineStr">
        <is>
          <t>세로한면(가)</t>
        </is>
      </c>
    </row>
    <row r="2446">
      <c r="A2446" s="3" t="inlineStr">
        <is>
          <t>장군면 송문리 387-5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17000</v>
      </c>
      <c r="G2446" s="4" t="n">
        <v>397</v>
      </c>
      <c r="H2446" s="4" t="n">
        <v>120</v>
      </c>
      <c r="I2446" s="5" t="n">
        <v>141.7</v>
      </c>
      <c r="J2446" s="5" t="n">
        <v>80</v>
      </c>
      <c r="K2446" s="3" t="inlineStr">
        <is>
          <t>급매, 지목이 대, 정남향 최고의 전망</t>
        </is>
      </c>
      <c r="L2446" s="6">
        <f>HYPERLINK("https://fin.land.naver.com/articles/2651023708", "매물Link")</f>
        <v/>
      </c>
      <c r="M2446" s="6">
        <f>HYPERLINK("https://map.naver.com/p/search/장군면 송문리 387-5", "지도Link")</f>
        <v/>
      </c>
      <c r="N2446" s="6">
        <f>HYPERLINK("http://www.eum.go.kr/web/ar/lu/luLandDet.jsp?pnu=3611035029103870005&amp;isNoScr=script&amp;mode=search",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337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송문리 40-15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37000</v>
      </c>
      <c r="G2447" s="4" t="n">
        <v>545</v>
      </c>
      <c r="H2447" s="4" t="n">
        <v>165</v>
      </c>
      <c r="I2447" s="5" t="n">
        <v>224.2</v>
      </c>
      <c r="J2447" s="5" t="n">
        <v>82.3</v>
      </c>
      <c r="K2447" s="3" t="inlineStr">
        <is>
          <t>대전,세종,공주에서 가까운거리에 있는 송문리의 택지조성완료된 토지</t>
        </is>
      </c>
      <c r="L2447" s="6">
        <f>HYPERLINK("https://fin.land.naver.com/articles/2654756727", "매물Link")</f>
        <v/>
      </c>
      <c r="M2447" s="6">
        <f>HYPERLINK("https://map.naver.com/p/search/장군면 송문리 40-15", "지도Link")</f>
        <v/>
      </c>
      <c r="N2447" s="6">
        <f>HYPERLINK("http://www.eum.go.kr/web/ar/lu/luLandDet.jsp?pnu=3611035029100400015&amp;isNoScr=script&amp;mode=search", "토지이음")</f>
        <v/>
      </c>
      <c r="O2447" s="3" t="inlineStr">
        <is>
          <t>비타민무소</t>
        </is>
      </c>
      <c r="P2447" s="4" t="n">
        <v>1</v>
      </c>
      <c r="Q2447" s="4" t="n">
        <v>545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정방형</t>
        </is>
      </c>
      <c r="V2447" s="3" t="inlineStr">
        <is>
          <t>세로한면(가)</t>
        </is>
      </c>
    </row>
    <row r="2448">
      <c r="A2448" s="3" t="inlineStr">
        <is>
          <t>장군면 송문리 40-19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55000</v>
      </c>
      <c r="G2448" s="4" t="n">
        <v>891</v>
      </c>
      <c r="H2448" s="4" t="n">
        <v>270</v>
      </c>
      <c r="I2448" s="5" t="n">
        <v>203.7</v>
      </c>
      <c r="J2448" s="5" t="n">
        <v>82.3</v>
      </c>
      <c r="K2448" s="3" t="inlineStr">
        <is>
          <t>조망권 좋은 전원 주택부지,세종시 근접</t>
        </is>
      </c>
      <c r="L2448" s="6">
        <f>HYPERLINK("https://fin.land.naver.com/articles/2656411633", "매물Link")</f>
        <v/>
      </c>
      <c r="M2448" s="6">
        <f>HYPERLINK("https://map.naver.com/p/search/장군면 송문리 40-19", "지도Link")</f>
        <v/>
      </c>
      <c r="N2448" s="6">
        <f>HYPERLINK("http://www.eum.go.kr/web/ar/lu/luLandDet.jsp?pnu=3611035029100400019&amp;isNoScr=script&amp;mode=search",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891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40-31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22000</v>
      </c>
      <c r="G2449" s="4" t="n">
        <v>476</v>
      </c>
      <c r="H2449" s="4" t="n">
        <v>144</v>
      </c>
      <c r="I2449" s="5" t="n">
        <v>152.8</v>
      </c>
      <c r="J2449" s="5" t="n">
        <v>82.3</v>
      </c>
      <c r="K2449" s="3" t="inlineStr">
        <is>
          <t>장군면 송문리  택지개발한 전원주택지 시세보다 저렴한 급매입니다</t>
        </is>
      </c>
      <c r="L2449" s="6">
        <f>HYPERLINK("https://fin.land.naver.com/articles/2654820709", "매물Link")</f>
        <v/>
      </c>
      <c r="M2449" s="6">
        <f>HYPERLINK("https://map.naver.com/p/search/장군면 송문리 40-31", "지도Link")</f>
        <v/>
      </c>
      <c r="N2449" s="6">
        <f>HYPERLINK("http://www.eum.go.kr/web/ar/lu/luLandDet.jsp?pnu=3611035029100400031&amp;isNoScr=script&amp;mode=search", "토지이음")</f>
        <v/>
      </c>
      <c r="O2449" s="3" t="inlineStr">
        <is>
          <t>스마일세종</t>
        </is>
      </c>
      <c r="P2449" s="4" t="n">
        <v>1</v>
      </c>
      <c r="Q2449" s="4" t="n">
        <v>396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40-6</t>
        </is>
      </c>
      <c r="B2450" s="3" t="inlineStr">
        <is>
          <t>보전관리지역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30000</v>
      </c>
      <c r="G2450" s="4" t="n">
        <v>547</v>
      </c>
      <c r="H2450" s="4" t="n">
        <v>165</v>
      </c>
      <c r="I2450" s="5" t="n">
        <v>181.8</v>
      </c>
      <c r="J2450" s="5" t="n">
        <v>82.3</v>
      </c>
      <c r="K2450" s="3" t="inlineStr">
        <is>
          <t>nan</t>
        </is>
      </c>
      <c r="L2450" s="6">
        <f>HYPERLINK("https://fin.land.naver.com/articles/2650942974", "매물Link")</f>
        <v/>
      </c>
      <c r="M2450" s="6">
        <f>HYPERLINK("https://map.naver.com/p/search/장군면 송문리 40-6", "지도Link")</f>
        <v/>
      </c>
      <c r="N2450" s="6">
        <f>HYPERLINK("http://www.eum.go.kr/web/ar/lu/luLandDet.jsp?pnu=3611035029100400006&amp;isNoScr=script&amp;mode=search", "토지이음")</f>
        <v/>
      </c>
      <c r="O2450" s="3" t="inlineStr">
        <is>
          <t>고운동리치세종</t>
        </is>
      </c>
      <c r="P2450" s="4" t="n">
        <v>1</v>
      </c>
      <c r="Q2450" s="4" t="n">
        <v>547</v>
      </c>
      <c r="R2450" s="3" t="inlineStr">
        <is>
          <t>지정되지않음</t>
        </is>
      </c>
      <c r="S2450" s="3" t="inlineStr">
        <is>
          <t>주거나지</t>
        </is>
      </c>
      <c r="T2450" s="3" t="inlineStr">
        <is>
          <t>완경사</t>
        </is>
      </c>
      <c r="U2450" s="3" t="inlineStr">
        <is>
          <t>정방형</t>
        </is>
      </c>
      <c r="V2450" s="3" t="inlineStr">
        <is>
          <t>세로한면(가)</t>
        </is>
      </c>
    </row>
    <row r="2451">
      <c r="A2451" s="3" t="inlineStr">
        <is>
          <t>장군면 송문리 422-2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3500</v>
      </c>
      <c r="G2451" s="4" t="n">
        <v>439</v>
      </c>
      <c r="H2451" s="4" t="n">
        <v>133</v>
      </c>
      <c r="I2451" s="5" t="n">
        <v>26.3</v>
      </c>
      <c r="J2451" s="5" t="n">
        <v>14.8</v>
      </c>
      <c r="K2451" s="3" t="inlineStr">
        <is>
          <t>가격저렴한 토임, 투자굿,송문침례교회 인근</t>
        </is>
      </c>
      <c r="L2451" s="6">
        <f>HYPERLINK("https://fin.land.naver.com/articles/2656187079", "매물Link")</f>
        <v/>
      </c>
      <c r="M2451" s="6">
        <f>HYPERLINK("https://map.naver.com/p/search/장군면 송문리 422-2", "지도Link")</f>
        <v/>
      </c>
      <c r="N2451" s="6">
        <f>HYPERLINK("http://www.eum.go.kr/web/ar/lu/luLandDet.jsp?pnu=3611035029104220002&amp;isNoScr=script&amp;mode=search", "토지이음")</f>
        <v/>
      </c>
      <c r="O2451" s="3" t="inlineStr">
        <is>
          <t>모두</t>
        </is>
      </c>
      <c r="P2451" s="4" t="n">
        <v>1</v>
      </c>
      <c r="Q2451" s="4" t="n">
        <v>365</v>
      </c>
      <c r="R2451" s="3" t="inlineStr">
        <is>
          <t>지정되지않음</t>
        </is>
      </c>
      <c r="S2451" s="3" t="inlineStr">
        <is>
          <t>토지임야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맹지</t>
        </is>
      </c>
    </row>
    <row r="2452">
      <c r="A2452" s="3" t="inlineStr">
        <is>
          <t>장군면 송문리 51-2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46000</v>
      </c>
      <c r="G2452" s="4" t="n">
        <v>760</v>
      </c>
      <c r="H2452" s="4" t="n">
        <v>230</v>
      </c>
      <c r="I2452" s="5" t="n">
        <v>200</v>
      </c>
      <c r="J2452" s="5" t="n">
        <v>66.7</v>
      </c>
      <c r="K2452" s="3" t="inlineStr">
        <is>
          <t>계획관리 도로 접한 최고의 명당자리 토지 매도</t>
        </is>
      </c>
      <c r="L2452" s="6">
        <f>HYPERLINK("https://fin.land.naver.com/articles/2656061969", "매물Link")</f>
        <v/>
      </c>
      <c r="M2452" s="6">
        <f>HYPERLINK("https://map.naver.com/p/search/장군면 송문리 51-2", "지도Link")</f>
        <v/>
      </c>
      <c r="N2452" s="6">
        <f>HYPERLINK("http://www.eum.go.kr/web/ar/lu/luLandDet.jsp?pnu=3611035029100510002&amp;isNoScr=script&amp;mode=search", "토지이음")</f>
        <v/>
      </c>
      <c r="O2452" s="3" t="inlineStr">
        <is>
          <t>온뜰</t>
        </is>
      </c>
      <c r="P2452" s="4" t="n">
        <v>1</v>
      </c>
      <c r="Q2452" s="4" t="n">
        <v>700</v>
      </c>
      <c r="R2452" s="3" t="inlineStr">
        <is>
          <t>지정되지않음</t>
        </is>
      </c>
      <c r="S2452" s="3" t="inlineStr">
        <is>
          <t>과수원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57-6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38000</v>
      </c>
      <c r="G2453" s="4" t="n">
        <v>701</v>
      </c>
      <c r="H2453" s="4" t="n">
        <v>212</v>
      </c>
      <c r="I2453" s="5" t="n">
        <v>179.2</v>
      </c>
      <c r="J2453" s="5" t="n">
        <v>63.4</v>
      </c>
      <c r="K2453" s="3" t="inlineStr">
        <is>
          <t>계획관리, 주변 풍광이 뛰어나고 전망좋아 전원주택지로 최적, 하우스 포함</t>
        </is>
      </c>
      <c r="L2453" s="6">
        <f>HYPERLINK("https://fin.land.naver.com/articles/2651021350", "매물Link")</f>
        <v/>
      </c>
      <c r="M2453" s="6">
        <f>HYPERLINK("https://map.naver.com/p/search/장군면 송문리 57-6", "지도Link")</f>
        <v/>
      </c>
      <c r="N2453" s="6">
        <f>HYPERLINK("http://www.eum.go.kr/web/ar/lu/luLandDet.jsp?pnu=3611035029100570006&amp;isNoScr=script&amp;mode=search",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701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61</t>
        </is>
      </c>
      <c r="B2454" s="3" t="inlineStr">
        <is>
          <t>계획관리지역</t>
        </is>
      </c>
      <c r="C2454" s="3" t="inlineStr">
        <is>
          <t>묘지</t>
        </is>
      </c>
      <c r="D2454" s="3" t="inlineStr">
        <is>
          <t>묘지</t>
        </is>
      </c>
      <c r="E2454" s="3" t="inlineStr">
        <is>
          <t>매매</t>
        </is>
      </c>
      <c r="F2454" s="4" t="n">
        <v>21000</v>
      </c>
      <c r="G2454" s="4" t="n">
        <v>331</v>
      </c>
      <c r="H2454" s="4" t="n">
        <v>100</v>
      </c>
      <c r="I2454" s="5" t="n">
        <v>210</v>
      </c>
      <c r="J2454" s="5" t="n">
        <v>66.7</v>
      </c>
      <c r="K2454" s="3" t="inlineStr">
        <is>
          <t>도로접 계획관리,지대가 높아 대교천 조망권 뷰,가격조정가능</t>
        </is>
      </c>
      <c r="L2454" s="6">
        <f>HYPERLINK("https://fin.land.naver.com/articles/2656009235", "매물Link")</f>
        <v/>
      </c>
      <c r="M2454" s="6">
        <f>HYPERLINK("https://map.naver.com/p/search/장군면 송문리 61", "지도Link")</f>
        <v/>
      </c>
      <c r="N2454" s="6">
        <f>HYPERLINK("http://www.eum.go.kr/web/ar/lu/luLandDet.jsp?pnu=3611035029100610000&amp;isNoScr=script&amp;mode=search", "토지이음")</f>
        <v/>
      </c>
      <c r="O2454" s="3" t="inlineStr">
        <is>
          <t>고운맘</t>
        </is>
      </c>
      <c r="P2454" s="4" t="n">
        <v>1</v>
      </c>
      <c r="Q2454" s="4" t="n">
        <v>331</v>
      </c>
      <c r="R2454" s="3" t="inlineStr">
        <is>
          <t>지정되지않음</t>
        </is>
      </c>
      <c r="S2454" s="3" t="inlineStr">
        <is>
          <t>전기타</t>
        </is>
      </c>
      <c r="T2454" s="3" t="inlineStr">
        <is>
          <t>완경사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송문리 61</t>
        </is>
      </c>
      <c r="B2455" s="3" t="inlineStr">
        <is>
          <t>계획관리지역</t>
        </is>
      </c>
      <c r="C2455" s="3" t="inlineStr">
        <is>
          <t>묘지</t>
        </is>
      </c>
      <c r="D2455" s="3" t="inlineStr">
        <is>
          <t>묘지</t>
        </is>
      </c>
      <c r="E2455" s="3" t="inlineStr">
        <is>
          <t>매매</t>
        </is>
      </c>
      <c r="F2455" s="4" t="n">
        <v>21000</v>
      </c>
      <c r="G2455" s="4" t="n">
        <v>331</v>
      </c>
      <c r="H2455" s="4" t="n">
        <v>100</v>
      </c>
      <c r="I2455" s="5" t="n">
        <v>210</v>
      </c>
      <c r="J2455" s="5" t="n">
        <v>66.7</v>
      </c>
      <c r="K2455" s="3" t="inlineStr">
        <is>
          <t>계획관리지역, 배산임수 전망 최상, 금액조율가능</t>
        </is>
      </c>
      <c r="L2455" s="6">
        <f>HYPERLINK("https://fin.land.naver.com/articles/2656061437", "매물Link")</f>
        <v/>
      </c>
      <c r="M2455" s="6">
        <f>HYPERLINK("https://map.naver.com/p/search/장군면 송문리 61", "지도Link")</f>
        <v/>
      </c>
      <c r="N2455" s="6">
        <f>HYPERLINK("http://www.eum.go.kr/web/ar/lu/luLandDet.jsp?pnu=3611035029100610000&amp;isNoScr=script&amp;mode=search", "토지이음")</f>
        <v/>
      </c>
      <c r="O2455" s="3" t="inlineStr">
        <is>
          <t>온뜰</t>
        </is>
      </c>
      <c r="P2455" s="4" t="n">
        <v>2</v>
      </c>
      <c r="Q2455" s="4" t="n">
        <v>331</v>
      </c>
      <c r="R2455" s="3" t="inlineStr">
        <is>
          <t>지정되지않음</t>
        </is>
      </c>
      <c r="S2455" s="3" t="inlineStr">
        <is>
          <t>전기타</t>
        </is>
      </c>
      <c r="T2455" s="3" t="inlineStr">
        <is>
          <t>완경사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송문리 624-1</t>
        </is>
      </c>
      <c r="B2456" s="3" t="inlineStr">
        <is>
          <t>농림지역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64000</v>
      </c>
      <c r="G2456" s="4" t="n">
        <v>3880</v>
      </c>
      <c r="H2456" s="4" t="n">
        <v>1174</v>
      </c>
      <c r="I2456" s="5" t="n">
        <v>54.5</v>
      </c>
      <c r="J2456" s="5" t="n">
        <v>26.2</v>
      </c>
      <c r="K2456" s="3" t="inlineStr">
        <is>
          <t>농림지역 농업진흥구역 도로접 투자용 농경지</t>
        </is>
      </c>
      <c r="L2456" s="6">
        <f>HYPERLINK("https://fin.land.naver.com/articles/2652733681", "매물Link")</f>
        <v/>
      </c>
      <c r="M2456" s="6">
        <f>HYPERLINK("https://map.naver.com/p/search/장군면 송문리 624-1", "지도Link")</f>
        <v/>
      </c>
      <c r="N2456" s="6">
        <f>HYPERLINK("http://www.eum.go.kr/web/ar/lu/luLandDet.jsp?pnu=3611035029106240001&amp;isNoScr=script&amp;mode=search", "토지이음")</f>
        <v/>
      </c>
      <c r="O2456" s="3" t="inlineStr">
        <is>
          <t>세종이룸</t>
        </is>
      </c>
      <c r="P2456" s="4" t="n">
        <v>1</v>
      </c>
      <c r="Q2456" s="4" t="n">
        <v>3880.9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626-4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135800</v>
      </c>
      <c r="G2457" s="4" t="n">
        <v>4488</v>
      </c>
      <c r="H2457" s="4" t="n">
        <v>1358</v>
      </c>
      <c r="I2457" s="5" t="n">
        <v>100</v>
      </c>
      <c r="J2457" s="5" t="n">
        <v>32.9</v>
      </c>
      <c r="K2457" s="3" t="inlineStr">
        <is>
          <t>nan</t>
        </is>
      </c>
      <c r="L2457" s="6">
        <f>HYPERLINK("https://fin.land.naver.com/articles/2652727550", "매물Link")</f>
        <v/>
      </c>
      <c r="M2457" s="6">
        <f>HYPERLINK("https://map.naver.com/p/search/장군면 송문리 626-4", "지도Link")</f>
        <v/>
      </c>
      <c r="N2457" s="6">
        <f>HYPERLINK("http://www.eum.go.kr/web/ar/lu/luLandDet.jsp?pnu=3611035029106260004&amp;isNoScr=script&amp;mode=search", "토지이음")</f>
        <v/>
      </c>
      <c r="O2457" s="3" t="inlineStr">
        <is>
          <t>대박</t>
        </is>
      </c>
      <c r="P2457" s="4" t="n">
        <v>1</v>
      </c>
      <c r="Q2457" s="4" t="n">
        <v>4488.7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세로한면(가)</t>
        </is>
      </c>
    </row>
    <row r="2458">
      <c r="A2458" s="3" t="inlineStr">
        <is>
          <t>장군면 송문리 631-2</t>
        </is>
      </c>
      <c r="B2458" s="3" t="inlineStr">
        <is>
          <t>농림지역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27000</v>
      </c>
      <c r="G2458" s="4" t="n">
        <v>2004</v>
      </c>
      <c r="H2458" s="4" t="n">
        <v>606</v>
      </c>
      <c r="I2458" s="5" t="n">
        <v>44.6</v>
      </c>
      <c r="J2458" s="5" t="n">
        <v>32.6</v>
      </c>
      <c r="K2458" s="3" t="inlineStr">
        <is>
          <t>급매, 저렴 대토용, 마을에 인접, 1Km 인근에 골프장 건설 예정</t>
        </is>
      </c>
      <c r="L2458" s="6">
        <f>HYPERLINK("https://fin.land.naver.com/articles/2654546684", "매물Link")</f>
        <v/>
      </c>
      <c r="M2458" s="6">
        <f>HYPERLINK("https://map.naver.com/p/search/장군면 송문리 631-2", "지도Link")</f>
        <v/>
      </c>
      <c r="N2458" s="6">
        <f>HYPERLINK("http://www.eum.go.kr/web/ar/lu/luLandDet.jsp?pnu=3611035029106310002&amp;isNoScr=script&amp;mode=search", "토지이음")</f>
        <v/>
      </c>
      <c r="O2458" s="3" t="inlineStr">
        <is>
          <t>온뜰</t>
        </is>
      </c>
      <c r="P2458" s="4" t="n">
        <v>1</v>
      </c>
      <c r="Q2458" s="4" t="n">
        <v>2004.5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세로한면(가)</t>
        </is>
      </c>
    </row>
    <row r="2459">
      <c r="A2459" s="3" t="inlineStr">
        <is>
          <t>장군면 송문리 638-2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65200</v>
      </c>
      <c r="G2459" s="4" t="n">
        <v>3317</v>
      </c>
      <c r="H2459" s="4" t="n">
        <v>1003</v>
      </c>
      <c r="I2459" s="5" t="n">
        <v>65</v>
      </c>
      <c r="J2459" s="5" t="n">
        <v>31.4</v>
      </c>
      <c r="K2459" s="3" t="inlineStr">
        <is>
          <t>대토추천, 서울세종고속도로 인근</t>
        </is>
      </c>
      <c r="L2459" s="6">
        <f>HYPERLINK("https://fin.land.naver.com/articles/2652122943", "매물Link")</f>
        <v/>
      </c>
      <c r="M2459" s="6">
        <f>HYPERLINK("https://map.naver.com/p/search/장군면 송문리 638-2", "지도Link")</f>
        <v/>
      </c>
      <c r="N2459" s="6">
        <f>HYPERLINK("http://www.eum.go.kr/web/ar/lu/luLandDet.jsp?pnu=3611035029106380002&amp;isNoScr=script&amp;mode=search",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3317.7</v>
      </c>
      <c r="R2459" s="3" t="inlineStr">
        <is>
          <t>계획관리지역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세로각지(가)</t>
        </is>
      </c>
    </row>
    <row r="2460">
      <c r="A2460" s="3" t="inlineStr">
        <is>
          <t>장군면 송문리 638-8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41000</v>
      </c>
      <c r="G2460" s="4" t="n">
        <v>2213</v>
      </c>
      <c r="H2460" s="4" t="n">
        <v>669</v>
      </c>
      <c r="I2460" s="5" t="n">
        <v>61.3</v>
      </c>
      <c r="J2460" s="5" t="n">
        <v>31</v>
      </c>
      <c r="K2460" s="3" t="inlineStr">
        <is>
          <t>농업 활용도 최상의 매물,주말 농장,농지필요한 농업인,장기투자용으로 추천</t>
        </is>
      </c>
      <c r="L2460" s="6">
        <f>HYPERLINK("https://fin.land.naver.com/articles/2654533166", "매물Link")</f>
        <v/>
      </c>
      <c r="M2460" s="6">
        <f>HYPERLINK("https://map.naver.com/p/search/장군면 송문리 638-8", "지도Link")</f>
        <v/>
      </c>
      <c r="N2460" s="6">
        <f>HYPERLINK("http://www.eum.go.kr/web/ar/lu/luLandDet.jsp?pnu=3611035029106380008&amp;isNoScr=script&amp;mode=search", "토지이음")</f>
        <v/>
      </c>
      <c r="O2460" s="3" t="inlineStr">
        <is>
          <t>짱</t>
        </is>
      </c>
      <c r="P2460" s="4" t="n">
        <v>1</v>
      </c>
      <c r="Q2460" s="4" t="n">
        <v>2213.8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643-6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38000</v>
      </c>
      <c r="G2461" s="4" t="n">
        <v>2390</v>
      </c>
      <c r="H2461" s="4" t="n">
        <v>723</v>
      </c>
      <c r="I2461" s="5" t="n">
        <v>52.6</v>
      </c>
      <c r="J2461" s="5" t="n">
        <v>32.6</v>
      </c>
      <c r="K2461" s="3" t="inlineStr">
        <is>
          <t>마을 6m도로 접하여 접근성 좋고 신도시 10분 가까운 거리 저렴 농지</t>
        </is>
      </c>
      <c r="L2461" s="6">
        <f>HYPERLINK("https://fin.land.naver.com/articles/2651022202", "매물Link")</f>
        <v/>
      </c>
      <c r="M2461" s="6">
        <f>HYPERLINK("https://map.naver.com/p/search/장군면 송문리 643-6", "지도Link")</f>
        <v/>
      </c>
      <c r="N2461" s="6">
        <f>HYPERLINK("http://www.eum.go.kr/web/ar/lu/luLandDet.jsp?pnu=3611035029106430006&amp;isNoScr=script&amp;mode=search", "토지이음")</f>
        <v/>
      </c>
      <c r="O2461" s="3" t="inlineStr">
        <is>
          <t>온뜰</t>
        </is>
      </c>
      <c r="P2461" s="4" t="n">
        <v>1</v>
      </c>
      <c r="Q2461" s="4" t="n">
        <v>2390.4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송문리 649-1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전</t>
        </is>
      </c>
      <c r="E2462" s="3" t="inlineStr">
        <is>
          <t>매매</t>
        </is>
      </c>
      <c r="F2462" s="4" t="n">
        <v>25750</v>
      </c>
      <c r="G2462" s="4" t="n">
        <v>1702</v>
      </c>
      <c r="H2462" s="4" t="n">
        <v>515</v>
      </c>
      <c r="I2462" s="5" t="n">
        <v>50</v>
      </c>
      <c r="J2462" s="5" t="n">
        <v>31</v>
      </c>
      <c r="K2462" s="3" t="inlineStr">
        <is>
          <t>소규모 농지 소액투자</t>
        </is>
      </c>
      <c r="L2462" s="6">
        <f>HYPERLINK("https://fin.land.naver.com/articles/2652731478", "매물Link")</f>
        <v/>
      </c>
      <c r="M2462" s="6">
        <f>HYPERLINK("https://map.naver.com/p/search/장군면 송문리 649-1", "지도Link")</f>
        <v/>
      </c>
      <c r="N2462" s="6">
        <f>HYPERLINK("http://www.eum.go.kr/web/ar/lu/luLandDet.jsp?pnu=3611035029106490001&amp;isNoScr=script&amp;mode=search", "토지이음")</f>
        <v/>
      </c>
      <c r="O2462" s="3" t="inlineStr">
        <is>
          <t>대박</t>
        </is>
      </c>
      <c r="P2462" s="4" t="n">
        <v>2</v>
      </c>
      <c r="Q2462" s="4" t="n">
        <v>1702.5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654-12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100000</v>
      </c>
      <c r="G2463" s="4" t="n">
        <v>4992</v>
      </c>
      <c r="H2463" s="4" t="n">
        <v>1510</v>
      </c>
      <c r="I2463" s="5" t="n">
        <v>66.2</v>
      </c>
      <c r="J2463" s="5" t="n">
        <v>29.4</v>
      </c>
      <c r="K2463" s="3" t="inlineStr">
        <is>
          <t>nan</t>
        </is>
      </c>
      <c r="L2463" s="6">
        <f>HYPERLINK("https://fin.land.naver.com/articles/2656222463", "매물Link")</f>
        <v/>
      </c>
      <c r="M2463" s="6">
        <f>HYPERLINK("https://map.naver.com/p/search/장군면 송문리 654-12", "지도Link")</f>
        <v/>
      </c>
      <c r="N2463" s="6">
        <f>HYPERLINK("http://www.eum.go.kr/web/ar/lu/luLandDet.jsp?pnu=3611035029106540012&amp;isNoScr=script&amp;mode=search", "토지이음")</f>
        <v/>
      </c>
      <c r="O2463" s="3" t="inlineStr">
        <is>
          <t>고운동리치세종</t>
        </is>
      </c>
      <c r="P2463" s="4" t="n">
        <v>1</v>
      </c>
      <c r="Q2463" s="4" t="n">
        <v>832.5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662-3</t>
        </is>
      </c>
      <c r="B2464" s="3" t="inlineStr">
        <is>
          <t>농림지역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50000</v>
      </c>
      <c r="G2464" s="4" t="n">
        <v>2053</v>
      </c>
      <c r="H2464" s="4" t="n">
        <v>621</v>
      </c>
      <c r="I2464" s="5" t="n">
        <v>80.5</v>
      </c>
      <c r="J2464" s="5" t="n">
        <v>34.1</v>
      </c>
      <c r="K2464" s="3" t="inlineStr">
        <is>
          <t>송문리 농림지역 토지매매</t>
        </is>
      </c>
      <c r="L2464" s="6">
        <f>HYPERLINK("https://fin.land.naver.com/articles/2652875896", "매물Link")</f>
        <v/>
      </c>
      <c r="M2464" s="6">
        <f>HYPERLINK("https://map.naver.com/p/search/장군면 송문리 662-3", "지도Link")</f>
        <v/>
      </c>
      <c r="N2464" s="6">
        <f>HYPERLINK("http://www.eum.go.kr/web/ar/lu/luLandDet.jsp?pnu=3611035029106620003&amp;isNoScr=script&amp;mode=search",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2053.1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70-4</t>
        </is>
      </c>
      <c r="B2465" s="3" t="inlineStr">
        <is>
          <t>계획관리지역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36200</v>
      </c>
      <c r="G2465" s="4" t="n">
        <v>598</v>
      </c>
      <c r="H2465" s="4" t="n">
        <v>181</v>
      </c>
      <c r="I2465" s="5" t="n">
        <v>200</v>
      </c>
      <c r="J2465" s="5" t="n">
        <v>93.3</v>
      </c>
      <c r="K2465" s="3" t="inlineStr">
        <is>
          <t>송문리 문성1길 마을초입, 계획관리지역 지목 대, 구옥 있음</t>
        </is>
      </c>
      <c r="L2465" s="6">
        <f>HYPERLINK("https://fin.land.naver.com/articles/2656061714", "매물Link")</f>
        <v/>
      </c>
      <c r="M2465" s="6">
        <f>HYPERLINK("https://map.naver.com/p/search/장군면 송문리 70-4", "지도Link")</f>
        <v/>
      </c>
      <c r="N2465" s="6">
        <f>HYPERLINK("http://www.eum.go.kr/web/ar/lu/luLandDet.jsp?pnu=3611035029100700004&amp;isNoScr=script&amp;mode=search",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258</v>
      </c>
      <c r="R2465" s="3" t="inlineStr">
        <is>
          <t>지정되지않음</t>
        </is>
      </c>
      <c r="S2465" s="3" t="inlineStr">
        <is>
          <t>단독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송문리 86-2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136800</v>
      </c>
      <c r="G2466" s="4" t="n">
        <v>2261</v>
      </c>
      <c r="H2466" s="4" t="n">
        <v>684</v>
      </c>
      <c r="I2466" s="5" t="n">
        <v>200</v>
      </c>
      <c r="J2466" s="5" t="n">
        <v>64.7</v>
      </c>
      <c r="K2466" s="3" t="inlineStr">
        <is>
          <t>계획관리지역 토지매매</t>
        </is>
      </c>
      <c r="L2466" s="6">
        <f>HYPERLINK("https://fin.land.naver.com/articles/2652042116", "매물Link")</f>
        <v/>
      </c>
      <c r="M2466" s="6">
        <f>HYPERLINK("https://map.naver.com/p/search/장군면 송문리 86-2", "지도Link")</f>
        <v/>
      </c>
      <c r="N2466" s="6">
        <f>HYPERLINK("http://www.eum.go.kr/web/ar/lu/luLandDet.jsp?pnu=3611035029100860002&amp;isNoScr=script&amp;mode=search",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2261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사다리형</t>
        </is>
      </c>
      <c r="V2466" s="3" t="inlineStr">
        <is>
          <t>세로한면(가)</t>
        </is>
      </c>
    </row>
    <row r="2467">
      <c r="A2467" s="3" t="inlineStr">
        <is>
          <t>장군면 송문리 산17-9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507500</v>
      </c>
      <c r="G2467" s="4" t="n">
        <v>23966</v>
      </c>
      <c r="H2467" s="4" t="n">
        <v>7250</v>
      </c>
      <c r="I2467" s="5" t="n">
        <v>70</v>
      </c>
      <c r="J2467" s="5" t="n">
        <v>17.5</v>
      </c>
      <c r="K2467" s="3" t="inlineStr">
        <is>
          <t>인근 고속도로 개통예정 창고부지</t>
        </is>
      </c>
      <c r="L2467" s="6">
        <f>HYPERLINK("https://fin.land.naver.com/articles/2656172162", "매물Link")</f>
        <v/>
      </c>
      <c r="M2467" s="6">
        <f>HYPERLINK("https://map.naver.com/p/search/장군면 송문리 산17-9", "지도Link")</f>
        <v/>
      </c>
      <c r="N2467" s="6">
        <f>HYPERLINK("http://www.eum.go.kr/web/ar/lu/luLandDet.jsp?pnu=3611035029200170009&amp;isNoScr=script&amp;mode=search", "토지이음")</f>
        <v/>
      </c>
      <c r="O2467" s="3" t="inlineStr">
        <is>
          <t>뉴다원에셋 주식회사</t>
        </is>
      </c>
      <c r="P2467" s="4" t="n">
        <v>1</v>
      </c>
      <c r="Q2467" s="4" t="n">
        <v>23415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송정리 556-4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200000</v>
      </c>
      <c r="G2468" s="4" t="n">
        <v>6646</v>
      </c>
      <c r="H2468" s="4" t="n">
        <v>2010</v>
      </c>
      <c r="I2468" s="5" t="n">
        <v>99.5</v>
      </c>
      <c r="J2468" s="5" t="n">
        <v>37.5</v>
      </c>
      <c r="K2468" s="3" t="inlineStr">
        <is>
          <t>nan</t>
        </is>
      </c>
      <c r="L2468" s="6">
        <f>HYPERLINK("https://fin.land.naver.com/articles/2656317678", "매물Link")</f>
        <v/>
      </c>
      <c r="M2468" s="6">
        <f>HYPERLINK("https://map.naver.com/p/search/장군면 송정리 556-4", "지도Link")</f>
        <v/>
      </c>
      <c r="N2468" s="6">
        <f>HYPERLINK("http://www.eum.go.kr/web/ar/lu/luLandDet.jsp?pnu=3611035030105560004&amp;isNoScr=script&amp;mode=search", "토지이음")</f>
        <v/>
      </c>
      <c r="O2468" s="3" t="inlineStr">
        <is>
          <t>다온</t>
        </is>
      </c>
      <c r="P2468" s="4" t="n">
        <v>1</v>
      </c>
      <c r="Q2468" s="4" t="n">
        <v>3375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556-5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210000</v>
      </c>
      <c r="G2469" s="4" t="n">
        <v>6646</v>
      </c>
      <c r="H2469" s="4" t="n">
        <v>2010</v>
      </c>
      <c r="I2469" s="5" t="n">
        <v>104.5</v>
      </c>
      <c r="J2469" s="5" t="n">
        <v>37.5</v>
      </c>
      <c r="K2469" s="3" t="inlineStr">
        <is>
          <t>정부청사에서10분 계획관리지역</t>
        </is>
      </c>
      <c r="L2469" s="6">
        <f>HYPERLINK("https://fin.land.naver.com/articles/2655763889", "매물Link")</f>
        <v/>
      </c>
      <c r="M2469" s="6">
        <f>HYPERLINK("https://map.naver.com/p/search/장군면 송정리 556-5", "지도Link")</f>
        <v/>
      </c>
      <c r="N2469" s="6">
        <f>HYPERLINK("http://www.eum.go.kr/web/ar/lu/luLandDet.jsp?pnu=3611035030105560005&amp;isNoScr=script&amp;mode=search", "토지이음")</f>
        <v/>
      </c>
      <c r="O2469" s="3" t="inlineStr">
        <is>
          <t>세종천지</t>
        </is>
      </c>
      <c r="P2469" s="4" t="n">
        <v>1</v>
      </c>
      <c r="Q2469" s="4" t="n">
        <v>3018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210000</v>
      </c>
      <c r="G2470" s="4" t="n">
        <v>6646</v>
      </c>
      <c r="H2470" s="4" t="n">
        <v>2010</v>
      </c>
      <c r="I2470" s="5" t="n">
        <v>104.5</v>
      </c>
      <c r="J2470" s="5" t="n">
        <v>37.5</v>
      </c>
      <c r="K2470" s="3" t="inlineStr">
        <is>
          <t>세세종IC 5분거리 계획관리지역</t>
        </is>
      </c>
      <c r="L2470" s="6">
        <f>HYPERLINK("https://fin.land.naver.com/articles/2651149402",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해온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3018</v>
      </c>
      <c r="H2471" s="4" t="n">
        <v>913</v>
      </c>
      <c r="I2471" s="5" t="n">
        <v>219.1</v>
      </c>
      <c r="J2471" s="5" t="n">
        <v>37.5</v>
      </c>
      <c r="K2471" s="3" t="inlineStr">
        <is>
          <t>계획관리지역 토지매매</t>
        </is>
      </c>
      <c r="L2471" s="6">
        <f>HYPERLINK("https://fin.land.naver.com/articles/2652873325",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580-2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96000</v>
      </c>
      <c r="G2472" s="4" t="n">
        <v>4541</v>
      </c>
      <c r="H2472" s="4" t="n">
        <v>1374</v>
      </c>
      <c r="I2472" s="5" t="n">
        <v>69.90000000000001</v>
      </c>
      <c r="J2472" s="5" t="n">
        <v>14.5</v>
      </c>
      <c r="K2472" s="3" t="inlineStr">
        <is>
          <t>2. 송정리. 전원 주택 단지로 개발하기 좋은 자리</t>
        </is>
      </c>
      <c r="L2472" s="6">
        <f>HYPERLINK("https://fin.land.naver.com/articles/2652713775", "매물Link")</f>
        <v/>
      </c>
      <c r="M2472" s="6">
        <f>HYPERLINK("https://map.naver.com/p/search/장군면 송정리 580-2", "지도Link")</f>
        <v/>
      </c>
      <c r="N2472" s="6">
        <f>HYPERLINK("http://www.eum.go.kr/web/ar/lu/luLandDet.jsp?pnu=3611035030105800002&amp;isNoScr=script&amp;mode=search", "토지이음")</f>
        <v/>
      </c>
      <c r="O2472" s="3" t="inlineStr">
        <is>
          <t>내동굿모닝</t>
        </is>
      </c>
      <c r="P2472" s="4" t="n">
        <v>1</v>
      </c>
      <c r="Q2472" s="4" t="n">
        <v>4541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세로한면(불)</t>
        </is>
      </c>
    </row>
    <row r="2473">
      <c r="A2473" s="3" t="inlineStr">
        <is>
          <t>장군면 송정리 582-1</t>
        </is>
      </c>
      <c r="B2473" s="3" t="inlineStr">
        <is>
          <t>계획관리지역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35000</v>
      </c>
      <c r="G2473" s="4" t="n">
        <v>714</v>
      </c>
      <c r="H2473" s="4" t="n">
        <v>216</v>
      </c>
      <c r="I2473" s="5" t="n">
        <v>162</v>
      </c>
      <c r="J2473" s="5" t="n">
        <v>19.6</v>
      </c>
      <c r="K2473" s="3" t="inlineStr">
        <is>
          <t>세종시 20분거리, 풍경 좋은 전원 주택, 쉼터, 주말농장 등</t>
        </is>
      </c>
      <c r="L2473" s="6">
        <f>HYPERLINK("https://fin.land.naver.com/articles/2653176854", "매물Link")</f>
        <v/>
      </c>
      <c r="M2473" s="6">
        <f>HYPERLINK("https://map.naver.com/p/search/장군면 송정리 582-1", "지도Link")</f>
        <v/>
      </c>
      <c r="N2473" s="6">
        <f>HYPERLINK("http://www.eum.go.kr/web/ar/lu/luLandDet.jsp?pnu=3611035030105820001&amp;isNoScr=script&amp;mode=search", "토지이음")</f>
        <v/>
      </c>
      <c r="O2473" s="3" t="inlineStr">
        <is>
          <t>상상</t>
        </is>
      </c>
      <c r="P2473" s="4" t="n">
        <v>1</v>
      </c>
      <c r="Q2473" s="4" t="n">
        <v>714</v>
      </c>
      <c r="R2473" s="3" t="inlineStr">
        <is>
          <t>지정되지않음</t>
        </is>
      </c>
      <c r="S2473" s="3" t="inlineStr">
        <is>
          <t>토지임야</t>
        </is>
      </c>
      <c r="T2473" s="3" t="inlineStr">
        <is>
          <t>완경사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송정리 638-9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40000</v>
      </c>
      <c r="G2474" s="4" t="n">
        <v>1471</v>
      </c>
      <c r="H2474" s="4" t="n">
        <v>445</v>
      </c>
      <c r="I2474" s="5" t="n">
        <v>89.90000000000001</v>
      </c>
      <c r="J2474" s="5" t="n">
        <v>32.4</v>
      </c>
      <c r="K2474" s="3" t="inlineStr">
        <is>
          <t>3면이 국유도로에 물려있는 예쁜 토지매매</t>
        </is>
      </c>
      <c r="L2474" s="6">
        <f>HYPERLINK("https://fin.land.naver.com/articles/2652874610", "매물Link")</f>
        <v/>
      </c>
      <c r="M2474" s="6">
        <f>HYPERLINK("https://map.naver.com/p/search/장군면 송정리 638-9", "지도Link")</f>
        <v/>
      </c>
      <c r="N2474" s="6">
        <f>HYPERLINK("http://www.eum.go.kr/web/ar/lu/luLandDet.jsp?pnu=3611035030106380009&amp;isNoScr=script&amp;mode=search", "토지이음")</f>
        <v/>
      </c>
      <c r="O2474" s="3" t="inlineStr">
        <is>
          <t>에이스</t>
        </is>
      </c>
      <c r="P2474" s="4" t="n">
        <v>1</v>
      </c>
      <c r="Q2474" s="4" t="n">
        <v>1471.8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세로각지(가)</t>
        </is>
      </c>
    </row>
    <row r="2475">
      <c r="A2475" s="3" t="inlineStr">
        <is>
          <t>장군면 송정리 640-3</t>
        </is>
      </c>
      <c r="B2475" s="3" t="inlineStr">
        <is>
          <t>생산관리지역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22000</v>
      </c>
      <c r="G2475" s="4" t="n">
        <v>1005</v>
      </c>
      <c r="H2475" s="4" t="n">
        <v>304</v>
      </c>
      <c r="I2475" s="5" t="n">
        <v>72.40000000000001</v>
      </c>
      <c r="J2475" s="5" t="n">
        <v>29.7</v>
      </c>
      <c r="K2475" s="3" t="inlineStr">
        <is>
          <t>송정리 생산관리지역 토지매매</t>
        </is>
      </c>
      <c r="L2475" s="6">
        <f>HYPERLINK("https://fin.land.naver.com/articles/2652884761", "매물Link")</f>
        <v/>
      </c>
      <c r="M2475" s="6">
        <f>HYPERLINK("https://map.naver.com/p/search/장군면 송정리 640-3", "지도Link")</f>
        <v/>
      </c>
      <c r="N2475" s="6">
        <f>HYPERLINK("http://www.eum.go.kr/web/ar/lu/luLandDet.jsp?pnu=3611035030106400003&amp;isNoScr=script&amp;mode=search",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1005.2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송정리 산24-22</t>
        </is>
      </c>
      <c r="B2476" s="3" t="inlineStr">
        <is>
          <t>보전관리지역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392000</v>
      </c>
      <c r="G2476" s="4" t="n">
        <v>28805</v>
      </c>
      <c r="H2476" s="4" t="n">
        <v>8714</v>
      </c>
      <c r="I2476" s="5" t="n">
        <v>45</v>
      </c>
      <c r="J2476" s="5" t="n">
        <v>12.7</v>
      </c>
      <c r="K2476" s="3" t="inlineStr">
        <is>
          <t>투자가치 최상 넓은면적 저렴한 토지 매매</t>
        </is>
      </c>
      <c r="L2476" s="6">
        <f>HYPERLINK("https://fin.land.naver.com/articles/2652667883", "매물Link")</f>
        <v/>
      </c>
      <c r="M2476" s="6">
        <f>HYPERLINK("https://map.naver.com/p/search/장군면 송정리 산24-22", "지도Link")</f>
        <v/>
      </c>
      <c r="N2476" s="6">
        <f>HYPERLINK("http://www.eum.go.kr/web/ar/lu/luLandDet.jsp?pnu=3611035030200240022&amp;isNoScr=script&amp;mode=search", "토지이음")</f>
        <v/>
      </c>
      <c r="O2476" s="3" t="inlineStr">
        <is>
          <t>(주)정민근</t>
        </is>
      </c>
      <c r="P2476" s="4" t="n">
        <v>1</v>
      </c>
      <c r="Q2476" s="4" t="n">
        <v>28805</v>
      </c>
      <c r="R2476" s="3" t="inlineStr">
        <is>
          <t>지정되지않음</t>
        </is>
      </c>
      <c r="S2476" s="3" t="inlineStr">
        <is>
          <t>자연림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송학리 126-11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264000</v>
      </c>
      <c r="G2477" s="4" t="n">
        <v>4367</v>
      </c>
      <c r="H2477" s="4" t="n">
        <v>1321</v>
      </c>
      <c r="I2477" s="5" t="n">
        <v>199.8</v>
      </c>
      <c r="J2477" s="5" t="n">
        <v>46.3</v>
      </c>
      <c r="K2477" s="3" t="inlineStr">
        <is>
          <t>6미터 도로에 접한 계획관리 토지</t>
        </is>
      </c>
      <c r="L2477" s="6">
        <f>HYPERLINK("https://fin.land.naver.com/articles/2655086071", "매물Link")</f>
        <v/>
      </c>
      <c r="M2477" s="6">
        <f>HYPERLINK("https://map.naver.com/p/search/장군면 송학리 126-11", "지도Link")</f>
        <v/>
      </c>
      <c r="N2477" s="6">
        <f>HYPERLINK("http://www.eum.go.kr/web/ar/lu/luLandDet.jsp?pnu=3611035031101260011&amp;isNoScr=script&amp;mode=search", "토지이음")</f>
        <v/>
      </c>
      <c r="O2477" s="3" t="inlineStr">
        <is>
          <t>세종대박</t>
        </is>
      </c>
      <c r="P2477" s="4" t="n">
        <v>1</v>
      </c>
      <c r="Q2477" s="4" t="n">
        <v>4367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송학리 136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1980</v>
      </c>
      <c r="H2478" s="4" t="n">
        <v>599</v>
      </c>
      <c r="I2478" s="5" t="n">
        <v>150.3</v>
      </c>
      <c r="J2478" s="5" t="n">
        <v>48.9</v>
      </c>
      <c r="K2478" s="3" t="inlineStr">
        <is>
          <t>송학리 도로접한 계획관리 땅모양 예뻐요</t>
        </is>
      </c>
      <c r="L2478" s="6">
        <f>HYPERLINK("https://fin.land.naver.com/articles/2655217089", "매물Link")</f>
        <v/>
      </c>
      <c r="M2478" s="6">
        <f>HYPERLINK("https://map.naver.com/p/search/장군면 송학리 136", "지도Link")</f>
        <v/>
      </c>
      <c r="N2478" s="6">
        <f>HYPERLINK("http://www.eum.go.kr/web/ar/lu/luLandDet.jsp?pnu=3611035031101360000&amp;isNoScr=script&amp;mode=search", "토지이음")</f>
        <v/>
      </c>
      <c r="O2478" s="3" t="inlineStr">
        <is>
          <t>생명나무</t>
        </is>
      </c>
      <c r="P2478" s="4" t="n">
        <v>1</v>
      </c>
      <c r="Q2478" s="4" t="n">
        <v>1904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156-3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43000</v>
      </c>
      <c r="G2479" s="4" t="n">
        <v>1438</v>
      </c>
      <c r="H2479" s="4" t="n">
        <v>435</v>
      </c>
      <c r="I2479" s="5" t="n">
        <v>98.90000000000001</v>
      </c>
      <c r="J2479" s="5" t="n">
        <v>33.7</v>
      </c>
      <c r="K2479" s="3" t="inlineStr">
        <is>
          <t>추후 지가상승 기대</t>
        </is>
      </c>
      <c r="L2479" s="6">
        <f>HYPERLINK("https://fin.land.naver.com/articles/2650956588", "매물Link")</f>
        <v/>
      </c>
      <c r="M2479" s="6">
        <f>HYPERLINK("https://map.naver.com/p/search/장군면 송학리 156-3", "지도Link")</f>
        <v/>
      </c>
      <c r="N2479" s="6">
        <f>HYPERLINK("http://www.eum.go.kr/web/ar/lu/luLandDet.jsp?pnu=3611035031101560003&amp;isNoScr=script&amp;mode=search", "토지이음")</f>
        <v/>
      </c>
      <c r="O2479" s="3" t="inlineStr">
        <is>
          <t>세종땅전문</t>
        </is>
      </c>
      <c r="P2479" s="4" t="n">
        <v>1</v>
      </c>
      <c r="Q2479" s="4" t="n">
        <v>1438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세로한면(불)</t>
        </is>
      </c>
    </row>
    <row r="2480">
      <c r="A2480" s="3" t="inlineStr">
        <is>
          <t>장군면 송학리 163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155000</v>
      </c>
      <c r="G2480" s="4" t="n">
        <v>3127</v>
      </c>
      <c r="H2480" s="4" t="n">
        <v>946</v>
      </c>
      <c r="I2480" s="5" t="n">
        <v>163.8</v>
      </c>
      <c r="J2480" s="5" t="n">
        <v>59.2</v>
      </c>
      <c r="K2480" s="3" t="inlineStr">
        <is>
          <t>세종 장군면 토지일괄매도 도로 차량진입 IC접근성 우수</t>
        </is>
      </c>
      <c r="L2480" s="6">
        <f>HYPERLINK("https://fin.land.naver.com/articles/2652359921", "매물Link")</f>
        <v/>
      </c>
      <c r="M2480" s="6">
        <f>HYPERLINK("https://map.naver.com/p/search/장군면 송학리 163", "지도Link")</f>
        <v/>
      </c>
      <c r="N2480" s="6">
        <f>HYPERLINK("http://www.eum.go.kr/web/ar/lu/luLandDet.jsp?pnu=3611035031101630000&amp;isNoScr=script&amp;mode=search", "토지이음")</f>
        <v/>
      </c>
      <c r="O2480" s="3" t="inlineStr">
        <is>
          <t>이화</t>
        </is>
      </c>
      <c r="P2480" s="4" t="n">
        <v>1</v>
      </c>
      <c r="Q2480" s="4" t="n">
        <v>360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165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150000</v>
      </c>
      <c r="G2481" s="4" t="n">
        <v>1012</v>
      </c>
      <c r="H2481" s="4" t="n">
        <v>306</v>
      </c>
      <c r="I2481" s="5" t="n">
        <v>490.2</v>
      </c>
      <c r="J2481" s="5" t="n">
        <v>50.3</v>
      </c>
      <c r="K2481" s="3" t="inlineStr">
        <is>
          <t>nan</t>
        </is>
      </c>
      <c r="L2481" s="6">
        <f>HYPERLINK("https://fin.land.naver.com/articles/2652558847", "매물Link")</f>
        <v/>
      </c>
      <c r="M2481" s="6">
        <f>HYPERLINK("https://map.naver.com/p/search/장군면 송학리 165", "지도Link")</f>
        <v/>
      </c>
      <c r="N2481" s="6">
        <f>HYPERLINK("http://www.eum.go.kr/web/ar/lu/luLandDet.jsp?pnu=3611035031101650000&amp;isNoScr=script&amp;mode=search", "토지이음")</f>
        <v/>
      </c>
      <c r="O2481" s="3" t="inlineStr">
        <is>
          <t>키움</t>
        </is>
      </c>
      <c r="P2481" s="4" t="n">
        <v>1</v>
      </c>
      <c r="Q2481" s="4" t="n">
        <v>1012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송학리 182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71230</v>
      </c>
      <c r="G2482" s="4" t="n">
        <v>1385</v>
      </c>
      <c r="H2482" s="4" t="n">
        <v>419</v>
      </c>
      <c r="I2482" s="5" t="n">
        <v>170</v>
      </c>
      <c r="J2482" s="5" t="n">
        <v>50.8</v>
      </c>
      <c r="K2482" s="3" t="inlineStr">
        <is>
          <t>마을인근 도로접한 전 계획관리지역 두 필지 매매</t>
        </is>
      </c>
      <c r="L2482" s="6">
        <f>HYPERLINK("https://fin.land.naver.com/articles/2655312250", "매물Link")</f>
        <v/>
      </c>
      <c r="M2482" s="6">
        <f>HYPERLINK("https://map.naver.com/p/search/장군면 송학리 182", "지도Link")</f>
        <v/>
      </c>
      <c r="N2482" s="6">
        <f>HYPERLINK("http://www.eum.go.kr/web/ar/lu/luLandDet.jsp?pnu=3611035031101820000&amp;isNoScr=script&amp;mode=search", "토지이음")</f>
        <v/>
      </c>
      <c r="O2482" s="3" t="inlineStr">
        <is>
          <t>제이파크</t>
        </is>
      </c>
      <c r="P2482" s="4" t="n">
        <v>1</v>
      </c>
      <c r="Q2482" s="4" t="n">
        <v>692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송학리 182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71200</v>
      </c>
      <c r="G2483" s="4" t="n">
        <v>1385</v>
      </c>
      <c r="H2483" s="4" t="n">
        <v>419</v>
      </c>
      <c r="I2483" s="5" t="n">
        <v>169.9</v>
      </c>
      <c r="J2483" s="5" t="n">
        <v>50.8</v>
      </c>
      <c r="K2483" s="3" t="inlineStr">
        <is>
          <t>계획관리지역 도로접 2필지 일괄매매</t>
        </is>
      </c>
      <c r="L2483" s="6">
        <f>HYPERLINK("https://fin.land.naver.com/articles/2655642837", "매물Link")</f>
        <v/>
      </c>
      <c r="M2483" s="6">
        <f>HYPERLINK("https://map.naver.com/p/search/장군면 송학리 182", "지도Link")</f>
        <v/>
      </c>
      <c r="N2483" s="6">
        <f>HYPERLINK("http://www.eum.go.kr/web/ar/lu/luLandDet.jsp?pnu=3611035031101820000&amp;isNoScr=script&amp;mode=search", "토지이음")</f>
        <v/>
      </c>
      <c r="O2483" s="3" t="inlineStr">
        <is>
          <t>리슈빌대주</t>
        </is>
      </c>
      <c r="P2483" s="4" t="n">
        <v>2</v>
      </c>
      <c r="Q2483" s="4" t="n">
        <v>692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송학리 211-2</t>
        </is>
      </c>
      <c r="B2484" s="3" t="inlineStr">
        <is>
          <t>계획관리지역</t>
        </is>
      </c>
      <c r="C2484" s="3" t="inlineStr">
        <is>
          <t>대</t>
        </is>
      </c>
      <c r="D2484" s="3" t="inlineStr">
        <is>
          <t>대</t>
        </is>
      </c>
      <c r="E2484" s="3" t="inlineStr">
        <is>
          <t>매매</t>
        </is>
      </c>
      <c r="F2484" s="4" t="n">
        <v>35000</v>
      </c>
      <c r="G2484" s="4" t="n">
        <v>338</v>
      </c>
      <c r="H2484" s="4" t="n">
        <v>102</v>
      </c>
      <c r="I2484" s="5" t="n">
        <v>343.1</v>
      </c>
      <c r="J2484" s="5" t="n">
        <v>58.5</v>
      </c>
      <c r="K2484" s="3" t="inlineStr">
        <is>
          <t>바른 세컨하우스로 좋은 농가주택과 토지  매매합니다   조정가능</t>
        </is>
      </c>
      <c r="L2484" s="6">
        <f>HYPERLINK("https://fin.land.naver.com/articles/2654858604", "매물Link")</f>
        <v/>
      </c>
      <c r="M2484" s="6">
        <f>HYPERLINK("https://map.naver.com/p/search/장군면 송학리 211-2", "지도Link")</f>
        <v/>
      </c>
      <c r="N2484" s="6">
        <f>HYPERLINK("http://www.eum.go.kr/web/ar/lu/luLandDet.jsp?pnu=3611035031102110002&amp;isNoScr=script&amp;mode=search", "토지이음")</f>
        <v/>
      </c>
      <c r="O2484" s="3" t="inlineStr">
        <is>
          <t>검단예미지바른</t>
        </is>
      </c>
      <c r="P2484" s="4" t="n">
        <v>1</v>
      </c>
      <c r="Q2484" s="4" t="n">
        <v>338</v>
      </c>
      <c r="R2484" s="3" t="inlineStr">
        <is>
          <t>지정되지않음</t>
        </is>
      </c>
      <c r="S2484" s="3" t="inlineStr">
        <is>
          <t>단독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세로한면(불)</t>
        </is>
      </c>
    </row>
    <row r="2485">
      <c r="A2485" s="3" t="inlineStr">
        <is>
          <t>장군면 송학리 211-5</t>
        </is>
      </c>
      <c r="B2485" s="3" t="inlineStr">
        <is>
          <t>계획관리지역</t>
        </is>
      </c>
      <c r="C2485" s="3" t="inlineStr">
        <is>
          <t>대</t>
        </is>
      </c>
      <c r="D2485" s="3" t="inlineStr">
        <is>
          <t>대</t>
        </is>
      </c>
      <c r="E2485" s="3" t="inlineStr">
        <is>
          <t>매매</t>
        </is>
      </c>
      <c r="F2485" s="4" t="n">
        <v>60000</v>
      </c>
      <c r="G2485" s="4" t="n">
        <v>686</v>
      </c>
      <c r="H2485" s="4" t="n">
        <v>208</v>
      </c>
      <c r="I2485" s="5" t="n">
        <v>288.5</v>
      </c>
      <c r="J2485" s="5" t="n">
        <v>70.5</v>
      </c>
      <c r="K2485" s="3" t="inlineStr">
        <is>
          <t>바른 귀한 나대지 매매합니다</t>
        </is>
      </c>
      <c r="L2485" s="6">
        <f>HYPERLINK("https://fin.land.naver.com/articles/2651856522", "매물Link")</f>
        <v/>
      </c>
      <c r="M2485" s="6">
        <f>HYPERLINK("https://map.naver.com/p/search/장군면 송학리 211-5", "지도Link")</f>
        <v/>
      </c>
      <c r="N2485" s="6">
        <f>HYPERLINK("http://www.eum.go.kr/web/ar/lu/luLandDet.jsp?pnu=3611035031102110005&amp;isNoScr=script&amp;mode=search", "토지이음")</f>
        <v/>
      </c>
      <c r="O2485" s="3" t="inlineStr">
        <is>
          <t>검단예미지바른</t>
        </is>
      </c>
      <c r="P2485" s="4" t="n">
        <v>1</v>
      </c>
      <c r="Q2485" s="4" t="n">
        <v>686</v>
      </c>
      <c r="R2485" s="3" t="inlineStr">
        <is>
          <t>지정되지않음</t>
        </is>
      </c>
      <c r="S2485" s="3" t="inlineStr">
        <is>
          <t>주거기타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송학리 212</t>
        </is>
      </c>
      <c r="B2486" s="3" t="inlineStr">
        <is>
          <t>계획관리지역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450000</v>
      </c>
      <c r="G2486" s="4" t="n">
        <v>10003</v>
      </c>
      <c r="H2486" s="4" t="n">
        <v>3026</v>
      </c>
      <c r="I2486" s="5" t="n">
        <v>148.7</v>
      </c>
      <c r="J2486" s="5" t="n">
        <v>27.5</v>
      </c>
      <c r="K2486" s="3" t="inlineStr">
        <is>
          <t>계획관리지역 알토란 토지,실외 골프연습장,전원주택지조성,가격조정가능</t>
        </is>
      </c>
      <c r="L2486" s="6">
        <f>HYPERLINK("https://fin.land.naver.com/articles/2651445631", "매물Link")</f>
        <v/>
      </c>
      <c r="M2486" s="6">
        <f>HYPERLINK("https://map.naver.com/p/search/장군면 송학리 212", "지도Link")</f>
        <v/>
      </c>
      <c r="N2486" s="6">
        <f>HYPERLINK("http://www.eum.go.kr/web/ar/lu/luLandDet.jsp?pnu=3611035031102120000&amp;isNoScr=script&amp;mode=search", "토지이음")</f>
        <v/>
      </c>
      <c r="O2486" s="3" t="inlineStr">
        <is>
          <t>고운맘</t>
        </is>
      </c>
      <c r="P2486" s="4" t="n">
        <v>1</v>
      </c>
      <c r="Q2486" s="4" t="n">
        <v>8934</v>
      </c>
      <c r="R2486" s="3" t="inlineStr">
        <is>
          <t>지정되지않음</t>
        </is>
      </c>
      <c r="S2486" s="3" t="inlineStr">
        <is>
          <t>토지임야</t>
        </is>
      </c>
      <c r="T2486" s="3" t="inlineStr">
        <is>
          <t>완경사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송학리 212-1</t>
        </is>
      </c>
      <c r="B2487" s="3" t="inlineStr">
        <is>
          <t>계획관리지역</t>
        </is>
      </c>
      <c r="C2487" s="3" t="inlineStr">
        <is>
          <t>임야</t>
        </is>
      </c>
      <c r="D2487" s="3" t="inlineStr">
        <is>
          <t>임야</t>
        </is>
      </c>
      <c r="E2487" s="3" t="inlineStr">
        <is>
          <t>매매</t>
        </is>
      </c>
      <c r="F2487" s="4" t="n">
        <v>453000</v>
      </c>
      <c r="G2487" s="4" t="n">
        <v>10003</v>
      </c>
      <c r="H2487" s="4" t="n">
        <v>3026</v>
      </c>
      <c r="I2487" s="5" t="n">
        <v>149.7</v>
      </c>
      <c r="J2487" s="5" t="n">
        <v>28.6</v>
      </c>
      <c r="K2487" s="3" t="inlineStr">
        <is>
          <t>계획관리지역 임야, 실외 골프연습장 설치, 전원주택지 개발 등 추천</t>
        </is>
      </c>
      <c r="L2487" s="6">
        <f>HYPERLINK("https://fin.land.naver.com/articles/2655656837", "매물Link")</f>
        <v/>
      </c>
      <c r="M2487" s="6">
        <f>HYPERLINK("https://map.naver.com/p/search/장군면 송학리 212-1", "지도Link")</f>
        <v/>
      </c>
      <c r="N2487" s="6">
        <f>HYPERLINK("http://www.eum.go.kr/web/ar/lu/luLandDet.jsp?pnu=3611035031102120001&amp;isNoScr=script&amp;mode=search",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1069</v>
      </c>
      <c r="R2487" s="3" t="inlineStr">
        <is>
          <t>지정되지않음</t>
        </is>
      </c>
      <c r="S2487" s="3" t="inlineStr">
        <is>
          <t>토지임야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송학리 227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80250</v>
      </c>
      <c r="G2488" s="4" t="n">
        <v>1769</v>
      </c>
      <c r="H2488" s="4" t="n">
        <v>535</v>
      </c>
      <c r="I2488" s="5" t="n">
        <v>150</v>
      </c>
      <c r="J2488" s="5" t="n">
        <v>48.1</v>
      </c>
      <c r="K2488" s="3" t="inlineStr">
        <is>
          <t>IC인근 교통 요지에 위치, 개발 활용도 높은 계획관리 답, 카페 추천</t>
        </is>
      </c>
      <c r="L2488" s="6">
        <f>HYPERLINK("https://fin.land.naver.com/articles/2655657213", "매물Link")</f>
        <v/>
      </c>
      <c r="M2488" s="6">
        <f>HYPERLINK("https://map.naver.com/p/search/장군면 송학리 227", "지도Link")</f>
        <v/>
      </c>
      <c r="N2488" s="6">
        <f>HYPERLINK("http://www.eum.go.kr/web/ar/lu/luLandDet.jsp?pnu=3611035031102270000&amp;isNoScr=script&amp;mode=search",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1769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249-1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115700</v>
      </c>
      <c r="G2489" s="4" t="n">
        <v>2123</v>
      </c>
      <c r="H2489" s="4" t="n">
        <v>642</v>
      </c>
      <c r="I2489" s="5" t="n">
        <v>180.2</v>
      </c>
      <c r="J2489" s="5" t="n">
        <v>33.8</v>
      </c>
      <c r="K2489" s="3" t="inlineStr">
        <is>
          <t>정남향의 전원주택지로  공기좋고, 조용하고, 교통진출입이 최적의 입지</t>
        </is>
      </c>
      <c r="L2489" s="6">
        <f>HYPERLINK("https://fin.land.naver.com/articles/2650867853", "매물Link")</f>
        <v/>
      </c>
      <c r="M2489" s="6">
        <f>HYPERLINK("https://map.naver.com/p/search/장군면 송학리 249-1", "지도Link")</f>
        <v/>
      </c>
      <c r="N2489" s="6">
        <f>HYPERLINK("http://www.eum.go.kr/web/ar/lu/luLandDet.jsp?pnu=3611035031102490001&amp;isNoScr=script&amp;mode=search", "토지이음")</f>
        <v/>
      </c>
      <c r="O2489" s="3" t="inlineStr">
        <is>
          <t>신하나로</t>
        </is>
      </c>
      <c r="P2489" s="4" t="n">
        <v>1</v>
      </c>
      <c r="Q2489" s="4" t="n">
        <v>446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장군면 송학리 249-4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116100</v>
      </c>
      <c r="G2490" s="4" t="n">
        <v>2132</v>
      </c>
      <c r="H2490" s="4" t="n">
        <v>645</v>
      </c>
      <c r="I2490" s="5" t="n">
        <v>180</v>
      </c>
      <c r="J2490" s="5" t="n">
        <v>41.3</v>
      </c>
      <c r="K2490" s="3" t="inlineStr">
        <is>
          <t>아늑하고 조용해서 전원주택 최고의  자링비니다.</t>
        </is>
      </c>
      <c r="L2490" s="6">
        <f>HYPERLINK("https://fin.land.naver.com/articles/2652780064", "매물Link")</f>
        <v/>
      </c>
      <c r="M2490" s="6">
        <f>HYPERLINK("https://map.naver.com/p/search/장군면 송학리 249-4", "지도Link")</f>
        <v/>
      </c>
      <c r="N2490" s="6">
        <f>HYPERLINK("http://www.eum.go.kr/web/ar/lu/luLandDet.jsp?pnu=3611035031102490004&amp;isNoScr=script&amp;mode=search", "토지이음")</f>
        <v/>
      </c>
      <c r="O2490" s="3" t="inlineStr">
        <is>
          <t>신하나로</t>
        </is>
      </c>
      <c r="P2490" s="4" t="n">
        <v>1</v>
      </c>
      <c r="Q2490" s="4" t="n">
        <v>334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430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35000</v>
      </c>
      <c r="G2491" s="4" t="n">
        <v>1048</v>
      </c>
      <c r="H2491" s="4" t="n">
        <v>317</v>
      </c>
      <c r="I2491" s="5" t="n">
        <v>110.4</v>
      </c>
      <c r="J2491" s="5" t="n">
        <v>60</v>
      </c>
      <c r="K2491" s="3" t="inlineStr">
        <is>
          <t>현재 오래된 주택,하우스 농작물 재배중</t>
        </is>
      </c>
      <c r="L2491" s="6">
        <f>HYPERLINK("https://fin.land.naver.com/articles/2651972097", "매물Link")</f>
        <v/>
      </c>
      <c r="M2491" s="6">
        <f>HYPERLINK("https://map.naver.com/p/search/장군면 송학리 430", "지도Link")</f>
        <v/>
      </c>
      <c r="N2491" s="6">
        <f>HYPERLINK("http://www.eum.go.kr/web/ar/lu/luLandDet.jsp?pnu=3611035031104300000&amp;isNoScr=script&amp;mode=search", "토지이음")</f>
        <v/>
      </c>
      <c r="O2491" s="3" t="inlineStr">
        <is>
          <t>그린영광</t>
        </is>
      </c>
      <c r="P2491" s="4" t="n">
        <v>1</v>
      </c>
      <c r="Q2491" s="4" t="n">
        <v>1048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송학리 440-18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36000</v>
      </c>
      <c r="G2492" s="4" t="n">
        <v>696</v>
      </c>
      <c r="H2492" s="4" t="n">
        <v>211</v>
      </c>
      <c r="I2492" s="5" t="n">
        <v>170.6</v>
      </c>
      <c r="J2492" s="5" t="n">
        <v>55.4</v>
      </c>
      <c r="K2492" s="3" t="inlineStr">
        <is>
          <t>예쁜 전원주택지, 남동향, 행복도시 15분</t>
        </is>
      </c>
      <c r="L2492" s="6">
        <f>HYPERLINK("https://fin.land.naver.com/articles/2652040656", "매물Link")</f>
        <v/>
      </c>
      <c r="M2492" s="6">
        <f>HYPERLINK("https://map.naver.com/p/search/장군면 송학리 440-18", "지도Link")</f>
        <v/>
      </c>
      <c r="N2492" s="6">
        <f>HYPERLINK("http://www.eum.go.kr/web/ar/lu/luLandDet.jsp?pnu=3611035031104400018&amp;isNoScr=script&amp;mode=search",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696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442-1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매매</t>
        </is>
      </c>
      <c r="F2493" s="4" t="n">
        <v>40000</v>
      </c>
      <c r="G2493" s="4" t="n">
        <v>838</v>
      </c>
      <c r="H2493" s="4" t="n">
        <v>253</v>
      </c>
      <c r="I2493" s="5" t="n">
        <v>158.1</v>
      </c>
      <c r="J2493" s="5" t="n">
        <v>41.2</v>
      </c>
      <c r="K2493" s="3" t="inlineStr">
        <is>
          <t>지방도 인접 송학전원주택지 앞 계획관리 전, 남쪽으로 트인 조망, 조정가</t>
        </is>
      </c>
      <c r="L2493" s="6">
        <f>HYPERLINK("https://fin.land.naver.com/articles/2655657456", "매물Link")</f>
        <v/>
      </c>
      <c r="M2493" s="6">
        <f>HYPERLINK("https://map.naver.com/p/search/장군면 송학리 442-1", "지도Link")</f>
        <v/>
      </c>
      <c r="N2493" s="6">
        <f>HYPERLINK("http://www.eum.go.kr/web/ar/lu/luLandDet.jsp?pnu=3611035031104420001&amp;isNoScr=script&amp;mode=search",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838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442-2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40000</v>
      </c>
      <c r="G2494" s="4" t="n">
        <v>869</v>
      </c>
      <c r="H2494" s="4" t="n">
        <v>263</v>
      </c>
      <c r="I2494" s="5" t="n">
        <v>152.1</v>
      </c>
      <c r="J2494" s="5" t="n">
        <v>40.8</v>
      </c>
      <c r="K2494" s="3" t="inlineStr">
        <is>
          <t>지방도 인접 송학전원주택지 앞 계획관리 전, 남쪽으로 트인 조망, 조정가</t>
        </is>
      </c>
      <c r="L2494" s="6">
        <f>HYPERLINK("https://fin.land.naver.com/articles/2655657676", "매물Link")</f>
        <v/>
      </c>
      <c r="M2494" s="6">
        <f>HYPERLINK("https://map.naver.com/p/search/장군면 송학리 442-2", "지도Link")</f>
        <v/>
      </c>
      <c r="N2494" s="6">
        <f>HYPERLINK("http://www.eum.go.kr/web/ar/lu/luLandDet.jsp?pnu=3611035031104420002&amp;isNoScr=script&amp;mode=search", "토지이음")</f>
        <v/>
      </c>
      <c r="O2494" s="3" t="inlineStr">
        <is>
          <t>온뜰</t>
        </is>
      </c>
      <c r="P2494" s="4" t="n">
        <v>1</v>
      </c>
      <c r="Q2494" s="4" t="n">
        <v>869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송학리 445-2</t>
        </is>
      </c>
      <c r="B2495" s="3" t="inlineStr">
        <is>
          <t>계획관리지역</t>
        </is>
      </c>
      <c r="C2495" s="3" t="inlineStr">
        <is>
          <t>대</t>
        </is>
      </c>
      <c r="D2495" s="3" t="inlineStr">
        <is>
          <t>대</t>
        </is>
      </c>
      <c r="E2495" s="3" t="inlineStr">
        <is>
          <t>매매</t>
        </is>
      </c>
      <c r="F2495" s="4" t="n">
        <v>38000</v>
      </c>
      <c r="G2495" s="4" t="n">
        <v>650</v>
      </c>
      <c r="H2495" s="4" t="n">
        <v>197</v>
      </c>
      <c r="I2495" s="5" t="n">
        <v>192.9</v>
      </c>
      <c r="J2495" s="5" t="n">
        <v>64.5</v>
      </c>
      <c r="K2495" s="3" t="inlineStr">
        <is>
          <t>세종공주 생활권, 계획관리 토지와 정식 준공 단독주택 일괄매매</t>
        </is>
      </c>
      <c r="L2495" s="6">
        <f>HYPERLINK("https://fin.land.naver.com/articles/2655035816", "매물Link")</f>
        <v/>
      </c>
      <c r="M2495" s="6">
        <f>HYPERLINK("https://map.naver.com/p/search/장군면 송학리 445-2", "지도Link")</f>
        <v/>
      </c>
      <c r="N2495" s="6">
        <f>HYPERLINK("http://www.eum.go.kr/web/ar/lu/luLandDet.jsp?pnu=3611035031104450002&amp;isNoScr=script&amp;mode=search",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627</v>
      </c>
      <c r="R2495" s="3" t="inlineStr">
        <is>
          <t>지정되지않음</t>
        </is>
      </c>
      <c r="S2495" s="3" t="inlineStr">
        <is>
          <t>단독</t>
        </is>
      </c>
      <c r="T2495" s="3" t="inlineStr">
        <is>
          <t>평지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송학리 455-2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50000</v>
      </c>
      <c r="G2496" s="4" t="n">
        <v>1048</v>
      </c>
      <c r="H2496" s="4" t="n">
        <v>317</v>
      </c>
      <c r="I2496" s="5" t="n">
        <v>157.7</v>
      </c>
      <c r="J2496" s="5" t="n">
        <v>48.4</v>
      </c>
      <c r="K2496" s="3" t="inlineStr">
        <is>
          <t>농작물 재배중</t>
        </is>
      </c>
      <c r="L2496" s="6">
        <f>HYPERLINK("https://fin.land.naver.com/articles/2651969697", "매물Link")</f>
        <v/>
      </c>
      <c r="M2496" s="6">
        <f>HYPERLINK("https://map.naver.com/p/search/장군면 송학리 455-2", "지도Link")</f>
        <v/>
      </c>
      <c r="N2496" s="6">
        <f>HYPERLINK("http://www.eum.go.kr/web/ar/lu/luLandDet.jsp?pnu=3611035031104550002&amp;isNoScr=script&amp;mode=search", "토지이음")</f>
        <v/>
      </c>
      <c r="O2496" s="3" t="inlineStr">
        <is>
          <t>그린영광</t>
        </is>
      </c>
      <c r="P2496" s="4" t="n">
        <v>1</v>
      </c>
      <c r="Q2496" s="4" t="n">
        <v>4261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468-1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800000</v>
      </c>
      <c r="G2497" s="4" t="n">
        <v>6074</v>
      </c>
      <c r="H2497" s="4" t="n">
        <v>1837</v>
      </c>
      <c r="I2497" s="5" t="n">
        <v>435.5</v>
      </c>
      <c r="J2497" s="5" t="n">
        <v>41.9</v>
      </c>
      <c r="K2497" s="3" t="inlineStr">
        <is>
          <t>건물포함 총 7필지, 투자가치 좋은 넓은 토지</t>
        </is>
      </c>
      <c r="L2497" s="6">
        <f>HYPERLINK("https://fin.land.naver.com/articles/2652510306", "매물Link")</f>
        <v/>
      </c>
      <c r="M2497" s="6">
        <f>HYPERLINK("https://map.naver.com/p/search/장군면 송학리 468-1", "지도Link")</f>
        <v/>
      </c>
      <c r="N2497" s="6">
        <f>HYPERLINK("http://www.eum.go.kr/web/ar/lu/luLandDet.jsp?pnu=3611035031104680001&amp;isNoScr=script&amp;mode=search", "토지이음")</f>
        <v/>
      </c>
      <c r="O2497" s="3" t="inlineStr">
        <is>
          <t>터</t>
        </is>
      </c>
      <c r="P2497" s="4" t="n">
        <v>1</v>
      </c>
      <c r="Q2497" s="4" t="n">
        <v>690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478-1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74000</v>
      </c>
      <c r="G2498" s="4" t="n">
        <v>1623</v>
      </c>
      <c r="H2498" s="4" t="n">
        <v>491</v>
      </c>
      <c r="I2498" s="5" t="n">
        <v>150.7</v>
      </c>
      <c r="J2498" s="5" t="n">
        <v>52.8</v>
      </c>
      <c r="K2498" s="3" t="inlineStr">
        <is>
          <t>2차선 도로옆 목좋은 토지, 계획관리지역, 가치 있는땅</t>
        </is>
      </c>
      <c r="L2498" s="6">
        <f>HYPERLINK("https://fin.land.naver.com/articles/2656021771", "매물Link")</f>
        <v/>
      </c>
      <c r="M2498" s="6">
        <f>HYPERLINK("https://map.naver.com/p/search/장군면 송학리 478-1", "지도Link")</f>
        <v/>
      </c>
      <c r="N2498" s="6">
        <f>HYPERLINK("http://www.eum.go.kr/web/ar/lu/luLandDet.jsp?pnu=3611035031104780001&amp;isNoScr=script&amp;mode=search", "토지이음")</f>
        <v/>
      </c>
      <c r="O2498" s="3" t="inlineStr">
        <is>
          <t>해랑숲</t>
        </is>
      </c>
      <c r="P2498" s="4" t="n">
        <v>1</v>
      </c>
      <c r="Q2498" s="4" t="n">
        <v>1623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부정형</t>
        </is>
      </c>
      <c r="V2498" s="3" t="inlineStr">
        <is>
          <t>소로한면</t>
        </is>
      </c>
    </row>
    <row r="2499">
      <c r="A2499" s="3" t="inlineStr">
        <is>
          <t>장군면 송학리 483-2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47000</v>
      </c>
      <c r="G2499" s="4" t="n">
        <v>1191</v>
      </c>
      <c r="H2499" s="4" t="n">
        <v>360</v>
      </c>
      <c r="I2499" s="5" t="n">
        <v>130.6</v>
      </c>
      <c r="J2499" s="5" t="n">
        <v>40.3</v>
      </c>
      <c r="K2499" s="3" t="inlineStr">
        <is>
          <t>입지좋은 계획관리지역, 도로인접으로 전원주택활용 및 투자가치 높은 토지</t>
        </is>
      </c>
      <c r="L2499" s="6">
        <f>HYPERLINK("https://fin.land.naver.com/articles/2653717060", "매물Link")</f>
        <v/>
      </c>
      <c r="M2499" s="6">
        <f>HYPERLINK("https://map.naver.com/p/search/장군면 송학리 483-2", "지도Link")</f>
        <v/>
      </c>
      <c r="N2499" s="6">
        <f>HYPERLINK("http://www.eum.go.kr/web/ar/lu/luLandDet.jsp?pnu=3611035031104830002&amp;isNoScr=script&amp;mode=search", "토지이음")</f>
        <v/>
      </c>
      <c r="O2499" s="3" t="inlineStr">
        <is>
          <t>마곡9단지</t>
        </is>
      </c>
      <c r="P2499" s="4" t="n">
        <v>5</v>
      </c>
      <c r="Q2499" s="4" t="n">
        <v>1191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483-2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43000</v>
      </c>
      <c r="G2500" s="4" t="n">
        <v>1191</v>
      </c>
      <c r="H2500" s="4" t="n">
        <v>360</v>
      </c>
      <c r="I2500" s="5" t="n">
        <v>119.4</v>
      </c>
      <c r="J2500" s="5" t="n">
        <v>40.3</v>
      </c>
      <c r="K2500" s="3" t="inlineStr">
        <is>
          <t>계획관리지역 현황도로 접, 앞면 탁트이고 주변 풍광 뛰어나 전원주택 추천</t>
        </is>
      </c>
      <c r="L2500" s="6">
        <f>HYPERLINK("https://fin.land.naver.com/articles/2651028782", "매물Link")</f>
        <v/>
      </c>
      <c r="M2500" s="6">
        <f>HYPERLINK("https://map.naver.com/p/search/장군면 송학리 483-2", "지도Link")</f>
        <v/>
      </c>
      <c r="N2500" s="6">
        <f>HYPERLINK("http://www.eum.go.kr/web/ar/lu/luLandDet.jsp?pnu=3611035031104830002&amp;isNoScr=script&amp;mode=search",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1191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49-1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62000</v>
      </c>
      <c r="G2501" s="4" t="n">
        <v>685</v>
      </c>
      <c r="H2501" s="4" t="n">
        <v>207</v>
      </c>
      <c r="I2501" s="5" t="n">
        <v>299.5</v>
      </c>
      <c r="J2501" s="5" t="n">
        <v>82</v>
      </c>
      <c r="K2501" s="3" t="inlineStr">
        <is>
          <t>서울세종고속도로 나들목 근처</t>
        </is>
      </c>
      <c r="L2501" s="6">
        <f>HYPERLINK("https://fin.land.naver.com/articles/2655019624", "매물Link")</f>
        <v/>
      </c>
      <c r="M2501" s="6">
        <f>HYPERLINK("https://map.naver.com/p/search/장군면 송학리 49-1", "지도Link")</f>
        <v/>
      </c>
      <c r="N2501" s="6">
        <f>HYPERLINK("http://www.eum.go.kr/web/ar/lu/luLandDet.jsp?pnu=3611035031100490001&amp;isNoScr=script&amp;mode=search", "토지이음")</f>
        <v/>
      </c>
      <c r="O2501" s="3" t="inlineStr">
        <is>
          <t>바다하리</t>
        </is>
      </c>
      <c r="P2501" s="4" t="n">
        <v>1</v>
      </c>
      <c r="Q2501" s="4" t="n">
        <v>685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소로한면</t>
        </is>
      </c>
    </row>
    <row r="2502">
      <c r="A2502" s="3" t="inlineStr">
        <is>
          <t>장군면 송학리 578-4</t>
        </is>
      </c>
      <c r="B2502" s="3" t="inlineStr">
        <is>
          <t>농림지역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121600</v>
      </c>
      <c r="G2502" s="4" t="n">
        <v>5026</v>
      </c>
      <c r="H2502" s="4" t="n">
        <v>1520</v>
      </c>
      <c r="I2502" s="5" t="n">
        <v>80</v>
      </c>
      <c r="J2502" s="5" t="n">
        <v>23.9</v>
      </c>
      <c r="K2502" s="3" t="inlineStr">
        <is>
          <t>도로접. 답  분할매매가능 ,대토가능</t>
        </is>
      </c>
      <c r="L2502" s="6">
        <f>HYPERLINK("https://fin.land.naver.com/articles/2652649930", "매물Link")</f>
        <v/>
      </c>
      <c r="M2502" s="6">
        <f>HYPERLINK("https://map.naver.com/p/search/장군면 송학리 578-4", "지도Link")</f>
        <v/>
      </c>
      <c r="N2502" s="6">
        <f>HYPERLINK("http://www.eum.go.kr/web/ar/lu/luLandDet.jsp?pnu=3611035031105780004&amp;isNoScr=script&amp;mode=search", "토지이음")</f>
        <v/>
      </c>
      <c r="O2502" s="3" t="inlineStr">
        <is>
          <t>제이파크</t>
        </is>
      </c>
      <c r="P2502" s="4" t="n">
        <v>1</v>
      </c>
      <c r="Q2502" s="4" t="n">
        <v>5026.2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세로장방</t>
        </is>
      </c>
      <c r="V2502" s="3" t="inlineStr">
        <is>
          <t>세로한면(가)</t>
        </is>
      </c>
    </row>
    <row r="2503">
      <c r="A2503" s="3" t="inlineStr">
        <is>
          <t>장군면 송학리 579-8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99500</v>
      </c>
      <c r="G2503" s="4" t="n">
        <v>4110</v>
      </c>
      <c r="H2503" s="4" t="n">
        <v>1243</v>
      </c>
      <c r="I2503" s="5" t="n">
        <v>80</v>
      </c>
      <c r="J2503" s="5" t="n">
        <v>24.4</v>
      </c>
      <c r="K2503" s="3" t="inlineStr">
        <is>
          <t>세종시인접하고 교통이편리함, 투자로 좋아요</t>
        </is>
      </c>
      <c r="L2503" s="6">
        <f>HYPERLINK("https://fin.land.naver.com/articles/2652000495", "매물Link")</f>
        <v/>
      </c>
      <c r="M2503" s="6">
        <f>HYPERLINK("https://map.naver.com/p/search/장군면 송학리 579-8", "지도Link")</f>
        <v/>
      </c>
      <c r="N2503" s="6">
        <f>HYPERLINK("http://www.eum.go.kr/web/ar/lu/luLandDet.jsp?pnu=3611035031105790008&amp;isNoScr=script&amp;mode=search", "토지이음")</f>
        <v/>
      </c>
      <c r="O2503" s="3" t="inlineStr">
        <is>
          <t>담뜰</t>
        </is>
      </c>
      <c r="P2503" s="4" t="n">
        <v>1</v>
      </c>
      <c r="Q2503" s="4" t="n">
        <v>4110.1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송학리 90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450000</v>
      </c>
      <c r="G2504" s="4" t="n">
        <v>4271</v>
      </c>
      <c r="H2504" s="4" t="n">
        <v>1292</v>
      </c>
      <c r="I2504" s="5" t="n">
        <v>348.3</v>
      </c>
      <c r="J2504" s="5" t="n">
        <v>54</v>
      </c>
      <c r="K2504" s="3" t="inlineStr">
        <is>
          <t>왕복 2차선 도로 접, 세종ic 약 1.5킬로, 와룡산업단지 약 3키로</t>
        </is>
      </c>
      <c r="L2504" s="6">
        <f>HYPERLINK("https://fin.land.naver.com/articles/2653204620", "매물Link")</f>
        <v/>
      </c>
      <c r="M2504" s="6">
        <f>HYPERLINK("https://map.naver.com/p/search/장군면 송학리 90", "지도Link")</f>
        <v/>
      </c>
      <c r="N2504" s="6">
        <f>HYPERLINK("http://www.eum.go.kr/web/ar/lu/luLandDet.jsp?pnu=3611035031100900000&amp;isNoScr=script&amp;mode=search", "토지이음")</f>
        <v/>
      </c>
      <c r="O2504" s="3" t="inlineStr">
        <is>
          <t>행복한무소</t>
        </is>
      </c>
      <c r="P2504" s="4" t="n">
        <v>1</v>
      </c>
      <c r="Q2504" s="4" t="n">
        <v>3815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송학리 산38-11</t>
        </is>
      </c>
      <c r="B2505" s="3" t="inlineStr">
        <is>
          <t>계획관리지역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107000</v>
      </c>
      <c r="G2505" s="4" t="n">
        <v>1226</v>
      </c>
      <c r="H2505" s="4" t="n">
        <v>371</v>
      </c>
      <c r="I2505" s="5" t="n">
        <v>288.4</v>
      </c>
      <c r="J2505" s="5" t="n">
        <v>9.6</v>
      </c>
      <c r="K2505" s="3" t="inlineStr">
        <is>
          <t>2차선 의당전의로접 계획관리지역 임야 세종청사17분.서세종IC 12분거리</t>
        </is>
      </c>
      <c r="L2505" s="6">
        <f>HYPERLINK("https://fin.land.naver.com/articles/2656315950", "매물Link")</f>
        <v/>
      </c>
      <c r="M2505" s="6">
        <f>HYPERLINK("https://map.naver.com/p/search/장군면 송학리 산38-11", "지도Link")</f>
        <v/>
      </c>
      <c r="N2505" s="6">
        <f>HYPERLINK("http://www.eum.go.kr/web/ar/lu/luLandDet.jsp?pnu=3611035031200380011&amp;isNoScr=script&amp;mode=search", "토지이음")</f>
        <v/>
      </c>
      <c r="O2505" s="3" t="inlineStr">
        <is>
          <t>새롬삼둥이</t>
        </is>
      </c>
      <c r="P2505" s="4" t="n">
        <v>7</v>
      </c>
      <c r="Q2505" s="4" t="n">
        <v>1226</v>
      </c>
      <c r="R2505" s="3" t="inlineStr">
        <is>
          <t>지정되지않음</t>
        </is>
      </c>
      <c r="S2505" s="3" t="inlineStr">
        <is>
          <t>자연림</t>
        </is>
      </c>
      <c r="T2505" s="3" t="inlineStr">
        <is>
          <t>급경사</t>
        </is>
      </c>
      <c r="U2505" s="3" t="inlineStr">
        <is>
          <t>자루형</t>
        </is>
      </c>
      <c r="V2505" s="3" t="inlineStr">
        <is>
          <t>소로한면</t>
        </is>
      </c>
    </row>
    <row r="2506">
      <c r="A2506" s="3" t="inlineStr">
        <is>
          <t>장군면 송학리 산38-11</t>
        </is>
      </c>
      <c r="B2506" s="3" t="inlineStr">
        <is>
          <t>계획관리지역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107000</v>
      </c>
      <c r="G2506" s="4" t="n">
        <v>1226</v>
      </c>
      <c r="H2506" s="4" t="n">
        <v>371</v>
      </c>
      <c r="I2506" s="5" t="n">
        <v>288.4</v>
      </c>
      <c r="J2506" s="5" t="n">
        <v>9.6</v>
      </c>
      <c r="K2506" s="3" t="inlineStr">
        <is>
          <t>게획관리지역 임야 2차선변 접.</t>
        </is>
      </c>
      <c r="L2506" s="6">
        <f>HYPERLINK("https://fin.land.naver.com/articles/2656166824", "매물Link")</f>
        <v/>
      </c>
      <c r="M2506" s="6">
        <f>HYPERLINK("https://map.naver.com/p/search/장군면 송학리 산38-11", "지도Link")</f>
        <v/>
      </c>
      <c r="N2506" s="6">
        <f>HYPERLINK("http://www.eum.go.kr/web/ar/lu/luLandDet.jsp?pnu=3611035031200380011&amp;isNoScr=script&amp;mode=search", "토지이음")</f>
        <v/>
      </c>
      <c r="O2506" s="3" t="inlineStr">
        <is>
          <t>로데오상가</t>
        </is>
      </c>
      <c r="P2506" s="4" t="n">
        <v>4</v>
      </c>
      <c r="Q2506" s="4" t="n">
        <v>1226</v>
      </c>
      <c r="R2506" s="3" t="inlineStr">
        <is>
          <t>지정되지않음</t>
        </is>
      </c>
      <c r="S2506" s="3" t="inlineStr">
        <is>
          <t>자연림</t>
        </is>
      </c>
      <c r="T2506" s="3" t="inlineStr">
        <is>
          <t>급경사</t>
        </is>
      </c>
      <c r="U2506" s="3" t="inlineStr">
        <is>
          <t>자루형</t>
        </is>
      </c>
      <c r="V2506" s="3" t="inlineStr">
        <is>
          <t>소로한면</t>
        </is>
      </c>
    </row>
    <row r="2507">
      <c r="A2507" s="3" t="inlineStr">
        <is>
          <t>장군면 송학리 산38-11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107000</v>
      </c>
      <c r="G2507" s="4" t="n">
        <v>1226</v>
      </c>
      <c r="H2507" s="4" t="n">
        <v>371</v>
      </c>
      <c r="I2507" s="5" t="n">
        <v>288.4</v>
      </c>
      <c r="J2507" s="5" t="n">
        <v>9.6</v>
      </c>
      <c r="K2507" s="3" t="inlineStr">
        <is>
          <t>2차선 의당전의로 접한 계획관리지역 임야, 음식점 또는 커피숍 추천</t>
        </is>
      </c>
      <c r="L2507" s="6">
        <f>HYPERLINK("https://fin.land.naver.com/articles/2651030469", "매물Link")</f>
        <v/>
      </c>
      <c r="M2507" s="6">
        <f>HYPERLINK("https://map.naver.com/p/search/장군면 송학리 산38-11", "지도Link")</f>
        <v/>
      </c>
      <c r="N2507" s="6">
        <f>HYPERLINK("http://www.eum.go.kr/web/ar/lu/luLandDet.jsp?pnu=3611035031200380011&amp;isNoScr=script&amp;mode=search",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1226</v>
      </c>
      <c r="R2507" s="3" t="inlineStr">
        <is>
          <t>지정되지않음</t>
        </is>
      </c>
      <c r="S2507" s="3" t="inlineStr">
        <is>
          <t>자연림</t>
        </is>
      </c>
      <c r="T2507" s="3" t="inlineStr">
        <is>
          <t>급경사</t>
        </is>
      </c>
      <c r="U2507" s="3" t="inlineStr">
        <is>
          <t>자루형</t>
        </is>
      </c>
      <c r="V2507" s="3" t="inlineStr">
        <is>
          <t>소로한면</t>
        </is>
      </c>
    </row>
    <row r="2508">
      <c r="A2508" s="3" t="inlineStr">
        <is>
          <t>장군면 송학리 산38-11</t>
        </is>
      </c>
      <c r="B2508" s="3" t="inlineStr">
        <is>
          <t>계획관리지역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107000</v>
      </c>
      <c r="G2508" s="4" t="n">
        <v>1226</v>
      </c>
      <c r="H2508" s="4" t="n">
        <v>371</v>
      </c>
      <c r="I2508" s="5" t="n">
        <v>288.4</v>
      </c>
      <c r="J2508" s="5" t="n">
        <v>9.6</v>
      </c>
      <c r="K2508" s="3" t="inlineStr">
        <is>
          <t>nan</t>
        </is>
      </c>
      <c r="L2508" s="6">
        <f>HYPERLINK("https://fin.land.naver.com/articles/2653655308", "매물Link")</f>
        <v/>
      </c>
      <c r="M2508" s="6">
        <f>HYPERLINK("https://map.naver.com/p/search/장군면 송학리 산38-11", "지도Link")</f>
        <v/>
      </c>
      <c r="N2508" s="6">
        <f>HYPERLINK("http://www.eum.go.kr/web/ar/lu/luLandDet.jsp?pnu=3611035031200380011&amp;isNoScr=script&amp;mode=search", "토지이음")</f>
        <v/>
      </c>
      <c r="O2508" s="3" t="inlineStr">
        <is>
          <t>세종몽땅</t>
        </is>
      </c>
      <c r="P2508" s="4" t="n">
        <v>1</v>
      </c>
      <c r="Q2508" s="4" t="n">
        <v>1226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급경사</t>
        </is>
      </c>
      <c r="U2508" s="3" t="inlineStr">
        <is>
          <t>자루형</t>
        </is>
      </c>
      <c r="V2508" s="3" t="inlineStr">
        <is>
          <t>소로한면</t>
        </is>
      </c>
    </row>
    <row r="2509">
      <c r="A2509" s="3" t="inlineStr">
        <is>
          <t>장군면 송학리 산43-1</t>
        </is>
      </c>
      <c r="B2509" s="3" t="inlineStr">
        <is>
          <t>농림지역</t>
        </is>
      </c>
      <c r="C2509" s="3" t="inlineStr">
        <is>
          <t>임야</t>
        </is>
      </c>
      <c r="D2509" s="3" t="inlineStr">
        <is>
          <t>임야</t>
        </is>
      </c>
      <c r="E2509" s="3" t="inlineStr">
        <is>
          <t>매매</t>
        </is>
      </c>
      <c r="F2509" s="4" t="n">
        <v>2200000</v>
      </c>
      <c r="G2509" s="4" t="n">
        <v>101454</v>
      </c>
      <c r="H2509" s="4" t="n">
        <v>30690</v>
      </c>
      <c r="I2509" s="5" t="n">
        <v>71.7</v>
      </c>
      <c r="J2509" s="5" t="n">
        <v>4.6</v>
      </c>
      <c r="K2509" s="3" t="inlineStr">
        <is>
          <t>세종시 장군면 물류부지, 데이터센터 부지 대형 계획관리지역 급매</t>
        </is>
      </c>
      <c r="L2509" s="6">
        <f>HYPERLINK("https://fin.land.naver.com/articles/2654665886", "매물Link")</f>
        <v/>
      </c>
      <c r="M2509" s="6">
        <f>HYPERLINK("https://map.naver.com/p/search/장군면 송학리 산43-1", "지도Link")</f>
        <v/>
      </c>
      <c r="N2509" s="6">
        <f>HYPERLINK("http://www.eum.go.kr/web/ar/lu/luLandDet.jsp?pnu=3611035031200430001&amp;isNoScr=script&amp;mode=search", "토지이음")</f>
        <v/>
      </c>
      <c r="O2509" s="3" t="inlineStr">
        <is>
          <t>청담</t>
        </is>
      </c>
      <c r="P2509" s="4" t="n">
        <v>1</v>
      </c>
      <c r="Q2509" s="4" t="n">
        <v>62323</v>
      </c>
      <c r="R2509" s="3" t="inlineStr">
        <is>
          <t>계획관리지역</t>
        </is>
      </c>
      <c r="S2509" s="3" t="inlineStr">
        <is>
          <t>자연림</t>
        </is>
      </c>
      <c r="T2509" s="3" t="inlineStr">
        <is>
          <t>급경사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용암리 111</t>
        </is>
      </c>
      <c r="B2510" s="3" t="inlineStr">
        <is>
          <t>생산관리지역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36000</v>
      </c>
      <c r="G2510" s="4" t="n">
        <v>541</v>
      </c>
      <c r="H2510" s="4" t="n">
        <v>164</v>
      </c>
      <c r="I2510" s="5" t="n">
        <v>219.5</v>
      </c>
      <c r="J2510" s="5" t="n">
        <v>33.8</v>
      </c>
      <c r="K2510" s="3" t="inlineStr">
        <is>
          <t>세종국가산단과 정안세종전용도로 사이에 2차선도로에 접한 토지이용도 최상</t>
        </is>
      </c>
      <c r="L2510" s="6">
        <f>HYPERLINK("https://fin.land.naver.com/articles/2652982238", "매물Link")</f>
        <v/>
      </c>
      <c r="M2510" s="6">
        <f>HYPERLINK("https://map.naver.com/p/search/장군면 용암리 111", "지도Link")</f>
        <v/>
      </c>
      <c r="N2510" s="6">
        <f>HYPERLINK("http://www.eum.go.kr/web/ar/lu/luLandDet.jsp?pnu=3611035033101110000&amp;isNoScr=script&amp;mode=search", "토지이음")</f>
        <v/>
      </c>
      <c r="O2510" s="3" t="inlineStr">
        <is>
          <t>온누리</t>
        </is>
      </c>
      <c r="P2510" s="4" t="n">
        <v>1</v>
      </c>
      <c r="Q2510" s="4" t="n">
        <v>541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용암리 111-3</t>
        </is>
      </c>
      <c r="B2511" s="3" t="inlineStr">
        <is>
          <t>생산관리지역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45000</v>
      </c>
      <c r="G2511" s="4" t="n">
        <v>2020</v>
      </c>
      <c r="H2511" s="4" t="n">
        <v>611</v>
      </c>
      <c r="I2511" s="5" t="n">
        <v>73.59999999999999</v>
      </c>
      <c r="J2511" s="5" t="n">
        <v>21.7</v>
      </c>
      <c r="K2511" s="3" t="inlineStr">
        <is>
          <t>성장관리계획구역,  답, 충대병원 근거리, 국유지인접사용가능</t>
        </is>
      </c>
      <c r="L2511" s="6">
        <f>HYPERLINK("https://fin.land.naver.com/articles/2652534308", "매물Link")</f>
        <v/>
      </c>
      <c r="M2511" s="6">
        <f>HYPERLINK("https://map.naver.com/p/search/장군면 용암리 111-3", "지도Link")</f>
        <v/>
      </c>
      <c r="N2511" s="6">
        <f>HYPERLINK("http://www.eum.go.kr/web/ar/lu/luLandDet.jsp?pnu=3611035033101110003&amp;isNoScr=script&amp;mode=search", "토지이음")</f>
        <v/>
      </c>
      <c r="O2511" s="3" t="inlineStr">
        <is>
          <t>SK랜드</t>
        </is>
      </c>
      <c r="P2511" s="4" t="n">
        <v>1</v>
      </c>
      <c r="Q2511" s="4" t="n">
        <v>496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맹지</t>
        </is>
      </c>
    </row>
    <row r="2512">
      <c r="A2512" s="3" t="inlineStr">
        <is>
          <t>장군면 용암리 146-3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18000</v>
      </c>
      <c r="G2512" s="4" t="n">
        <v>367</v>
      </c>
      <c r="H2512" s="4" t="n">
        <v>111</v>
      </c>
      <c r="I2512" s="5" t="n">
        <v>162.2</v>
      </c>
      <c r="J2512" s="5" t="n">
        <v>33.2</v>
      </c>
      <c r="K2512" s="3" t="inlineStr">
        <is>
          <t>남향의 앞 조망 시원한 소액 토지</t>
        </is>
      </c>
      <c r="L2512" s="6">
        <f>HYPERLINK("https://fin.land.naver.com/articles/2654841451", "매물Link")</f>
        <v/>
      </c>
      <c r="M2512" s="6">
        <f>HYPERLINK("https://map.naver.com/p/search/장군면 용암리 146-3", "지도Link")</f>
        <v/>
      </c>
      <c r="N2512" s="6">
        <f>HYPERLINK("http://www.eum.go.kr/web/ar/lu/luLandDet.jsp?pnu=3611035033101460003&amp;isNoScr=script&amp;mode=search", "토지이음")</f>
        <v/>
      </c>
      <c r="O2512" s="3" t="inlineStr">
        <is>
          <t>용궁</t>
        </is>
      </c>
      <c r="P2512" s="4" t="n">
        <v>1</v>
      </c>
      <c r="Q2512" s="4" t="n">
        <v>367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세로한면(불)</t>
        </is>
      </c>
    </row>
    <row r="2513">
      <c r="A2513" s="3" t="inlineStr">
        <is>
          <t>장군면 용암리 166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284000</v>
      </c>
      <c r="G2513" s="4" t="n">
        <v>6264</v>
      </c>
      <c r="H2513" s="4" t="n">
        <v>1895</v>
      </c>
      <c r="I2513" s="5" t="n">
        <v>149.9</v>
      </c>
      <c r="J2513" s="5" t="n">
        <v>41.3</v>
      </c>
      <c r="K2513" s="3" t="inlineStr">
        <is>
          <t>제조업소, 창고, 주택, 농사용등 용도 다양한토지</t>
        </is>
      </c>
      <c r="L2513" s="6">
        <f>HYPERLINK("https://fin.land.naver.com/articles/2650893046", "매물Link")</f>
        <v/>
      </c>
      <c r="M2513" s="6">
        <f>HYPERLINK("https://map.naver.com/p/search/장군면 용암리 166", "지도Link")</f>
        <v/>
      </c>
      <c r="N2513" s="6">
        <f>HYPERLINK("http://www.eum.go.kr/web/ar/lu/luLandDet.jsp?pnu=3611035033101660000&amp;isNoScr=script&amp;mode=search", "토지이음")</f>
        <v/>
      </c>
      <c r="O2513" s="3" t="inlineStr">
        <is>
          <t>이은섭</t>
        </is>
      </c>
      <c r="P2513" s="4" t="n">
        <v>1</v>
      </c>
      <c r="Q2513" s="4" t="n">
        <v>1421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용암리 220</t>
        </is>
      </c>
      <c r="B2514" s="3" t="inlineStr">
        <is>
          <t>보전관리지역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16000</v>
      </c>
      <c r="G2514" s="4" t="n">
        <v>1702</v>
      </c>
      <c r="H2514" s="4" t="n">
        <v>515</v>
      </c>
      <c r="I2514" s="5" t="n">
        <v>31.1</v>
      </c>
      <c r="J2514" s="5" t="n">
        <v>27.8</v>
      </c>
      <c r="K2514" s="3" t="inlineStr">
        <is>
          <t>보전관리지역. 성장관계획구역 .국유지 지목 하천등과 인접 토지 매도</t>
        </is>
      </c>
      <c r="L2514" s="6">
        <f>HYPERLINK("https://fin.land.naver.com/articles/2651984900", "매물Link")</f>
        <v/>
      </c>
      <c r="M2514" s="6">
        <f>HYPERLINK("https://map.naver.com/p/search/장군면 용암리 220", "지도Link")</f>
        <v/>
      </c>
      <c r="N2514" s="6">
        <f>HYPERLINK("http://www.eum.go.kr/web/ar/lu/luLandDet.jsp?pnu=3611035033102200000&amp;isNoScr=script&amp;mode=search", "토지이음")</f>
        <v/>
      </c>
      <c r="O2514" s="3" t="inlineStr">
        <is>
          <t>오송퍼스트영웅</t>
        </is>
      </c>
      <c r="P2514" s="4" t="n">
        <v>1</v>
      </c>
      <c r="Q2514" s="4" t="n">
        <v>1702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용암리 340</t>
        </is>
      </c>
      <c r="B2515" s="3" t="inlineStr">
        <is>
          <t>생산관리지역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6500</v>
      </c>
      <c r="G2515" s="4" t="n">
        <v>674</v>
      </c>
      <c r="H2515" s="4" t="n">
        <v>204</v>
      </c>
      <c r="I2515" s="5" t="n">
        <v>31.9</v>
      </c>
      <c r="J2515" s="5" t="n">
        <v>30.7</v>
      </c>
      <c r="K2515" s="3" t="inlineStr">
        <is>
          <t>지목이 대, 급매, 협의절충, 공시지가로 매매</t>
        </is>
      </c>
      <c r="L2515" s="6">
        <f>HYPERLINK("https://fin.land.naver.com/articles/2654838549", "매물Link")</f>
        <v/>
      </c>
      <c r="M2515" s="6">
        <f>HYPERLINK("https://map.naver.com/p/search/장군면 용암리 340", "지도Link")</f>
        <v/>
      </c>
      <c r="N2515" s="6">
        <f>HYPERLINK("http://www.eum.go.kr/web/ar/lu/luLandDet.jsp?pnu=3611035033103400000&amp;isNoScr=script&amp;mode=search", "토지이음")</f>
        <v/>
      </c>
      <c r="O2515" s="3" t="inlineStr">
        <is>
          <t>세종한울</t>
        </is>
      </c>
      <c r="P2515" s="4" t="n">
        <v>1</v>
      </c>
      <c r="Q2515" s="4" t="n">
        <v>674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맹지</t>
        </is>
      </c>
    </row>
    <row r="2516">
      <c r="A2516" s="3" t="inlineStr">
        <is>
          <t>장군면 용암리 359</t>
        </is>
      </c>
      <c r="B2516" s="3" t="inlineStr">
        <is>
          <t>생산관리지역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20000</v>
      </c>
      <c r="G2516" s="4" t="n">
        <v>1458</v>
      </c>
      <c r="H2516" s="4" t="n">
        <v>441</v>
      </c>
      <c r="I2516" s="5" t="n">
        <v>45.4</v>
      </c>
      <c r="J2516" s="5" t="n">
        <v>17.1</v>
      </c>
      <c r="K2516" s="3" t="inlineStr">
        <is>
          <t>nan</t>
        </is>
      </c>
      <c r="L2516" s="6">
        <f>HYPERLINK("https://fin.land.naver.com/articles/2655277421", "매물Link")</f>
        <v/>
      </c>
      <c r="M2516" s="6">
        <f>HYPERLINK("https://map.naver.com/p/search/장군면 용암리 359", "지도Link")</f>
        <v/>
      </c>
      <c r="N2516" s="6">
        <f>HYPERLINK("http://www.eum.go.kr/web/ar/lu/luLandDet.jsp?pnu=3611035033103590000&amp;isNoScr=script&amp;mode=search", "토지이음")</f>
        <v/>
      </c>
      <c r="O2516" s="3" t="inlineStr">
        <is>
          <t>JK</t>
        </is>
      </c>
      <c r="P2516" s="4" t="n">
        <v>1</v>
      </c>
      <c r="Q2516" s="4" t="n">
        <v>1458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516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50000</v>
      </c>
      <c r="G2517" s="4" t="n">
        <v>1114</v>
      </c>
      <c r="H2517" s="4" t="n">
        <v>337</v>
      </c>
      <c r="I2517" s="5" t="n">
        <v>148.4</v>
      </c>
      <c r="J2517" s="5" t="n">
        <v>34.1</v>
      </c>
      <c r="K2517" s="3" t="inlineStr">
        <is>
          <t>투자용으로 가능</t>
        </is>
      </c>
      <c r="L2517" s="6">
        <f>HYPERLINK("https://fin.land.naver.com/articles/2652000650", "매물Link")</f>
        <v/>
      </c>
      <c r="M2517" s="6">
        <f>HYPERLINK("https://map.naver.com/p/search/장군면 용암리 516", "지도Link")</f>
        <v/>
      </c>
      <c r="N2517" s="6">
        <f>HYPERLINK("http://www.eum.go.kr/web/ar/lu/luLandDet.jsp?pnu=3611035033105160000&amp;isNoScr=script&amp;mode=search", "토지이음")</f>
        <v/>
      </c>
      <c r="O2517" s="3" t="inlineStr">
        <is>
          <t>세종시토지</t>
        </is>
      </c>
      <c r="P2517" s="4" t="n">
        <v>1</v>
      </c>
      <c r="Q2517" s="4" t="n">
        <v>1114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용암리 660-1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68000</v>
      </c>
      <c r="G2518" s="4" t="n">
        <v>3022</v>
      </c>
      <c r="H2518" s="4" t="n">
        <v>914</v>
      </c>
      <c r="I2518" s="5" t="n">
        <v>74.40000000000001</v>
      </c>
      <c r="J2518" s="5" t="n">
        <v>17.1</v>
      </c>
      <c r="K2518" s="3" t="inlineStr">
        <is>
          <t>국가산업단지 인근 용암리 도로 접한 농림지역 농지 매매.</t>
        </is>
      </c>
      <c r="L2518" s="6">
        <f>HYPERLINK("https://fin.land.naver.com/articles/2653444885", "매물Link")</f>
        <v/>
      </c>
      <c r="M2518" s="6">
        <f>HYPERLINK("https://map.naver.com/p/search/장군면 용암리 660-1", "지도Link")</f>
        <v/>
      </c>
      <c r="N2518" s="6">
        <f>HYPERLINK("http://www.eum.go.kr/web/ar/lu/luLandDet.jsp?pnu=3611035033106600001&amp;isNoScr=script&amp;mode=search", "토지이음")</f>
        <v/>
      </c>
      <c r="O2518" s="3" t="inlineStr">
        <is>
          <t>세종대장</t>
        </is>
      </c>
      <c r="P2518" s="4" t="n">
        <v>1</v>
      </c>
      <c r="Q2518" s="4" t="n">
        <v>3002.9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용암리 662-1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85000</v>
      </c>
      <c r="G2519" s="4" t="n">
        <v>3352</v>
      </c>
      <c r="H2519" s="4" t="n">
        <v>1014</v>
      </c>
      <c r="I2519" s="5" t="n">
        <v>83.8</v>
      </c>
      <c r="J2519" s="5" t="n">
        <v>16.9</v>
      </c>
      <c r="K2519" s="3" t="inlineStr">
        <is>
          <t>도로 길게 낀 토지</t>
        </is>
      </c>
      <c r="L2519" s="6">
        <f>HYPERLINK("https://fin.land.naver.com/articles/2653195565", "매물Link")</f>
        <v/>
      </c>
      <c r="M2519" s="6">
        <f>HYPERLINK("https://map.naver.com/p/search/장군면 용암리 662-1", "지도Link")</f>
        <v/>
      </c>
      <c r="N2519" s="6">
        <f>HYPERLINK("http://www.eum.go.kr/web/ar/lu/luLandDet.jsp?pnu=3611035033106620001&amp;isNoScr=script&amp;mode=search", "토지이음")</f>
        <v/>
      </c>
      <c r="O2519" s="3" t="inlineStr">
        <is>
          <t>THE행복</t>
        </is>
      </c>
      <c r="P2519" s="4" t="n">
        <v>1</v>
      </c>
      <c r="Q2519" s="4" t="n">
        <v>3351.4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용암리 662-1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85000</v>
      </c>
      <c r="G2520" s="4" t="n">
        <v>3351</v>
      </c>
      <c r="H2520" s="4" t="n">
        <v>1014</v>
      </c>
      <c r="I2520" s="5" t="n">
        <v>83.8</v>
      </c>
      <c r="J2520" s="5" t="n">
        <v>16.9</v>
      </c>
      <c r="K2520" s="3" t="inlineStr">
        <is>
          <t>투자가치 최상</t>
        </is>
      </c>
      <c r="L2520" s="6">
        <f>HYPERLINK("https://fin.land.naver.com/articles/2652696158", "매물Link")</f>
        <v/>
      </c>
      <c r="M2520" s="6">
        <f>HYPERLINK("https://map.naver.com/p/search/장군면 용암리 662-1", "지도Link")</f>
        <v/>
      </c>
      <c r="N2520" s="6">
        <f>HYPERLINK("http://www.eum.go.kr/web/ar/lu/luLandDet.jsp?pnu=3611035033106620001&amp;isNoScr=script&amp;mode=search", "토지이음")</f>
        <v/>
      </c>
      <c r="O2520" s="3" t="inlineStr">
        <is>
          <t>새땅</t>
        </is>
      </c>
      <c r="P2520" s="4" t="n">
        <v>2</v>
      </c>
      <c r="Q2520" s="4" t="n">
        <v>3351.4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용암리 668-1</t>
        </is>
      </c>
      <c r="B2521" s="3" t="inlineStr">
        <is>
          <t>생산관리지역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140000</v>
      </c>
      <c r="G2521" s="4" t="n">
        <v>3399</v>
      </c>
      <c r="H2521" s="4" t="n">
        <v>1028</v>
      </c>
      <c r="I2521" s="5" t="n">
        <v>136.2</v>
      </c>
      <c r="J2521" s="5" t="n">
        <v>34.7</v>
      </c>
      <c r="K2521" s="3" t="inlineStr">
        <is>
          <t>2차선 접한 넓은 토지.</t>
        </is>
      </c>
      <c r="L2521" s="6">
        <f>HYPERLINK("https://fin.land.naver.com/articles/2651423050", "매물Link")</f>
        <v/>
      </c>
      <c r="M2521" s="6">
        <f>HYPERLINK("https://map.naver.com/p/search/장군면 용암리 668-1", "지도Link")</f>
        <v/>
      </c>
      <c r="N2521" s="6">
        <f>HYPERLINK("http://www.eum.go.kr/web/ar/lu/luLandDet.jsp?pnu=3611035033106680001&amp;isNoScr=script&amp;mode=search", "토지이음")</f>
        <v/>
      </c>
      <c r="O2521" s="3" t="inlineStr">
        <is>
          <t>세종소담114</t>
        </is>
      </c>
      <c r="P2521" s="4" t="n">
        <v>1</v>
      </c>
      <c r="Q2521" s="4" t="n">
        <v>2470.6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소로한면</t>
        </is>
      </c>
    </row>
    <row r="2522">
      <c r="A2522" s="3" t="inlineStr">
        <is>
          <t>장군면 용암리 668-1</t>
        </is>
      </c>
      <c r="B2522" s="3" t="inlineStr">
        <is>
          <t>생산관리지역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150000</v>
      </c>
      <c r="G2522" s="4" t="n">
        <v>3399</v>
      </c>
      <c r="H2522" s="4" t="n">
        <v>1028</v>
      </c>
      <c r="I2522" s="5" t="n">
        <v>145.9</v>
      </c>
      <c r="J2522" s="5" t="n">
        <v>34.7</v>
      </c>
      <c r="K2522" s="3" t="inlineStr">
        <is>
          <t>서세종 ic  근접 토지, 세종시 확장, 미래가치기대 ,주말농장등</t>
        </is>
      </c>
      <c r="L2522" s="6">
        <f>HYPERLINK("https://fin.land.naver.com/articles/2652360213", "매물Link")</f>
        <v/>
      </c>
      <c r="M2522" s="6">
        <f>HYPERLINK("https://map.naver.com/p/search/장군면 용암리 668-1", "지도Link")</f>
        <v/>
      </c>
      <c r="N2522" s="6">
        <f>HYPERLINK("http://www.eum.go.kr/web/ar/lu/luLandDet.jsp?pnu=3611035033106680001&amp;isNoScr=script&amp;mode=search", "토지이음")</f>
        <v/>
      </c>
      <c r="O2522" s="3" t="inlineStr">
        <is>
          <t>세종특별시</t>
        </is>
      </c>
      <c r="P2522" s="4" t="n">
        <v>1</v>
      </c>
      <c r="Q2522" s="4" t="n">
        <v>2470.6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소로한면</t>
        </is>
      </c>
    </row>
    <row r="2523">
      <c r="A2523" s="3" t="inlineStr">
        <is>
          <t>장군면 용암리 79-3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181200</v>
      </c>
      <c r="G2523" s="4" t="n">
        <v>4991</v>
      </c>
      <c r="H2523" s="4" t="n">
        <v>1510</v>
      </c>
      <c r="I2523" s="5" t="n">
        <v>120</v>
      </c>
      <c r="J2523" s="5" t="n">
        <v>4.2</v>
      </c>
      <c r="K2523" s="3" t="inlineStr">
        <is>
          <t>분할매매 가능,2차선 도로접, 국가 산단예정지 근거리위치,</t>
        </is>
      </c>
      <c r="L2523" s="6">
        <f>HYPERLINK("https://fin.land.naver.com/articles/2651054083", "매물Link")</f>
        <v/>
      </c>
      <c r="M2523" s="6">
        <f>HYPERLINK("https://map.naver.com/p/search/장군면 용암리 79-3", "지도Link")</f>
        <v/>
      </c>
      <c r="N2523" s="6">
        <f>HYPERLINK("http://www.eum.go.kr/web/ar/lu/luLandDet.jsp?pnu=3611035033100790003&amp;isNoScr=script&amp;mode=search", "토지이음")</f>
        <v/>
      </c>
      <c r="O2523" s="3" t="inlineStr">
        <is>
          <t>담뜰</t>
        </is>
      </c>
      <c r="P2523" s="4" t="n">
        <v>1</v>
      </c>
      <c r="Q2523" s="4" t="n">
        <v>3879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급경사</t>
        </is>
      </c>
      <c r="U2523" s="3" t="inlineStr">
        <is>
          <t>부정형</t>
        </is>
      </c>
      <c r="V2523" s="3" t="inlineStr">
        <is>
          <t>소로한면</t>
        </is>
      </c>
    </row>
    <row r="2524">
      <c r="A2524" s="3" t="inlineStr">
        <is>
          <t>장군면 용암리 99</t>
        </is>
      </c>
      <c r="B2524" s="3" t="inlineStr">
        <is>
          <t>계획관리지역</t>
        </is>
      </c>
      <c r="C2524" s="3" t="inlineStr">
        <is>
          <t>목장용지</t>
        </is>
      </c>
      <c r="D2524" s="3" t="inlineStr">
        <is>
          <t>목장용지</t>
        </is>
      </c>
      <c r="E2524" s="3" t="inlineStr">
        <is>
          <t>매매</t>
        </is>
      </c>
      <c r="F2524" s="4" t="n">
        <v>170000</v>
      </c>
      <c r="G2524" s="4" t="n">
        <v>4277</v>
      </c>
      <c r="H2524" s="4" t="n">
        <v>1294</v>
      </c>
      <c r="I2524" s="5" t="n">
        <v>131.4</v>
      </c>
      <c r="J2524" s="5" t="n">
        <v>39.3</v>
      </c>
      <c r="K2524" s="3" t="inlineStr">
        <is>
          <t>목장가능. 소 젖소 말 가능,</t>
        </is>
      </c>
      <c r="L2524" s="6">
        <f>HYPERLINK("https://fin.land.naver.com/articles/2654227658", "매물Link")</f>
        <v/>
      </c>
      <c r="M2524" s="6">
        <f>HYPERLINK("https://map.naver.com/p/search/장군면 용암리 99", "지도Link")</f>
        <v/>
      </c>
      <c r="N2524" s="6">
        <f>HYPERLINK("http://www.eum.go.kr/web/ar/lu/luLandDet.jsp?pnu=3611035033100990000&amp;isNoScr=script&amp;mode=search", "토지이음")</f>
        <v/>
      </c>
      <c r="O2524" s="3" t="inlineStr">
        <is>
          <t>미스터홈즈강남지사</t>
        </is>
      </c>
      <c r="P2524" s="4" t="n">
        <v>1</v>
      </c>
      <c r="Q2524" s="4" t="n">
        <v>4129</v>
      </c>
      <c r="R2524" s="3" t="inlineStr">
        <is>
          <t>지정되지않음</t>
        </is>
      </c>
      <c r="S2524" s="3" t="inlineStr">
        <is>
          <t>답기타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용암리 산28-1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18000</v>
      </c>
      <c r="G2525" s="4" t="n">
        <v>3955</v>
      </c>
      <c r="H2525" s="4" t="n">
        <v>1196</v>
      </c>
      <c r="I2525" s="5" t="n">
        <v>15.1</v>
      </c>
      <c r="J2525" s="5" t="n">
        <v>3.2</v>
      </c>
      <c r="K2525" s="3" t="inlineStr">
        <is>
          <t>국가산업단지 인근 보전관리지역, 준보전산지 임야로 현재 과수원이용.</t>
        </is>
      </c>
      <c r="L2525" s="6">
        <f>HYPERLINK("https://fin.land.naver.com/articles/2653618078", "매물Link")</f>
        <v/>
      </c>
      <c r="M2525" s="6">
        <f>HYPERLINK("https://map.naver.com/p/search/장군면 용암리 산28-1", "지도Link")</f>
        <v/>
      </c>
      <c r="N2525" s="6">
        <f>HYPERLINK("http://www.eum.go.kr/web/ar/lu/luLandDet.jsp?pnu=3611035033200280001&amp;isNoScr=script&amp;mode=search", "토지이음")</f>
        <v/>
      </c>
      <c r="O2525" s="3" t="inlineStr">
        <is>
          <t>세종대장</t>
        </is>
      </c>
      <c r="P2525" s="4" t="n">
        <v>1</v>
      </c>
      <c r="Q2525" s="4" t="n">
        <v>3955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급경사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용암리 산79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173000</v>
      </c>
      <c r="G2526" s="4" t="n">
        <v>22993</v>
      </c>
      <c r="H2526" s="4" t="n">
        <v>6955</v>
      </c>
      <c r="I2526" s="5" t="n">
        <v>24.9</v>
      </c>
      <c r="J2526" s="5" t="n">
        <v>2.6</v>
      </c>
      <c r="K2526" s="3" t="inlineStr">
        <is>
          <t>세종IC인근,국가산단인접,투자가치,보전관리,성장관리구역,준보전산지,남향</t>
        </is>
      </c>
      <c r="L2526" s="6">
        <f>HYPERLINK("https://fin.land.naver.com/articles/2650862796", "매물Link")</f>
        <v/>
      </c>
      <c r="M2526" s="6">
        <f>HYPERLINK("https://map.naver.com/p/search/장군면 용암리 산79", "지도Link")</f>
        <v/>
      </c>
      <c r="N2526" s="6">
        <f>HYPERLINK("http://www.eum.go.kr/web/ar/lu/luLandDet.jsp?pnu=3611035033200790000&amp;isNoScr=script&amp;mode=search", "토지이음")</f>
        <v/>
      </c>
      <c r="O2526" s="3" t="inlineStr">
        <is>
          <t>새시대</t>
        </is>
      </c>
      <c r="P2526" s="4" t="n">
        <v>1</v>
      </c>
      <c r="Q2526" s="4" t="n">
        <v>16078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급경사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용암리 산99-3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115000</v>
      </c>
      <c r="G2527" s="4" t="n">
        <v>15317</v>
      </c>
      <c r="H2527" s="4" t="n">
        <v>4633</v>
      </c>
      <c r="I2527" s="5" t="n">
        <v>24.8</v>
      </c>
      <c r="J2527" s="5" t="n">
        <v>3.2</v>
      </c>
      <c r="K2527" s="3" t="inlineStr">
        <is>
          <t>세종ic인근,국가산단인근,저렴,투자가치,보전관리,성장관리,준보전산지,남향</t>
        </is>
      </c>
      <c r="L2527" s="6">
        <f>HYPERLINK("https://fin.land.naver.com/articles/2650862805", "매물Link")</f>
        <v/>
      </c>
      <c r="M2527" s="6">
        <f>HYPERLINK("https://map.naver.com/p/search/장군면 용암리 산99-3", "지도Link")</f>
        <v/>
      </c>
      <c r="N2527" s="6">
        <f>HYPERLINK("http://www.eum.go.kr/web/ar/lu/luLandDet.jsp?pnu=3611035033200990003&amp;isNoScr=script&amp;mode=search", "토지이음")</f>
        <v/>
      </c>
      <c r="O2527" s="3" t="inlineStr">
        <is>
          <t>새시대</t>
        </is>
      </c>
      <c r="P2527" s="4" t="n">
        <v>1</v>
      </c>
      <c r="Q2527" s="4" t="n">
        <v>15317</v>
      </c>
      <c r="R2527" s="3" t="inlineStr">
        <is>
          <t>지정되지않음</t>
        </is>
      </c>
      <c r="S2527" s="3" t="inlineStr">
        <is>
          <t>자연림</t>
        </is>
      </c>
      <c r="T2527" s="3" t="inlineStr">
        <is>
          <t>급경사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용현리 100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46000</v>
      </c>
      <c r="G2528" s="4" t="n">
        <v>500</v>
      </c>
      <c r="H2528" s="4" t="n">
        <v>151</v>
      </c>
      <c r="I2528" s="5" t="n">
        <v>304.6</v>
      </c>
      <c r="J2528" s="5" t="n">
        <v>82.5</v>
      </c>
      <c r="K2528" s="3" t="inlineStr">
        <is>
          <t>사정상급매 접근성좋아 위치좋음 입주가능한 농가구옥도있음 분할매매가능</t>
        </is>
      </c>
      <c r="L2528" s="6">
        <f>HYPERLINK("https://fin.land.naver.com/articles/2652992295", "매물Link")</f>
        <v/>
      </c>
      <c r="M2528" s="6">
        <f>HYPERLINK("https://map.naver.com/p/search/장군면 용현리 100", "지도Link")</f>
        <v/>
      </c>
      <c r="N2528" s="6">
        <f>HYPERLINK("http://www.eum.go.kr/web/ar/lu/luLandDet.jsp?pnu=3611035032101000000&amp;isNoScr=script&amp;mode=search", "토지이음")</f>
        <v/>
      </c>
      <c r="O2528" s="3" t="inlineStr">
        <is>
          <t>벽산마을</t>
        </is>
      </c>
      <c r="P2528" s="4" t="n">
        <v>1</v>
      </c>
      <c r="Q2528" s="4" t="n">
        <v>1002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사다리형</t>
        </is>
      </c>
      <c r="V2528" s="3" t="inlineStr">
        <is>
          <t>세로한면(가)</t>
        </is>
      </c>
    </row>
    <row r="2529">
      <c r="A2529" s="3" t="inlineStr">
        <is>
          <t>장군면 용현리 100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90000</v>
      </c>
      <c r="G2529" s="4" t="n">
        <v>1001</v>
      </c>
      <c r="H2529" s="4" t="n">
        <v>303</v>
      </c>
      <c r="I2529" s="5" t="n">
        <v>297</v>
      </c>
      <c r="J2529" s="5" t="n">
        <v>82.5</v>
      </c>
      <c r="K2529" s="3" t="inlineStr">
        <is>
          <t>nan</t>
        </is>
      </c>
      <c r="L2529" s="6">
        <f>HYPERLINK("https://fin.land.naver.com/articles/2651022729", "매물Link")</f>
        <v/>
      </c>
      <c r="M2529" s="6">
        <f>HYPERLINK("https://map.naver.com/p/search/장군면 용현리 100", "지도Link")</f>
        <v/>
      </c>
      <c r="N2529" s="6">
        <f>HYPERLINK("http://www.eum.go.kr/web/ar/lu/luLandDet.jsp?pnu=3611035032101000000&amp;isNoScr=script&amp;mode=search", "토지이음")</f>
        <v/>
      </c>
      <c r="O2529" s="3" t="inlineStr">
        <is>
          <t>비타민무소</t>
        </is>
      </c>
      <c r="P2529" s="4" t="n">
        <v>1</v>
      </c>
      <c r="Q2529" s="4" t="n">
        <v>1002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사다리형</t>
        </is>
      </c>
      <c r="V2529" s="3" t="inlineStr">
        <is>
          <t>세로한면(가)</t>
        </is>
      </c>
    </row>
    <row r="2530">
      <c r="A2530" s="3" t="inlineStr">
        <is>
          <t>장군면 용현리 234-1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80000</v>
      </c>
      <c r="G2530" s="4" t="n">
        <v>3221</v>
      </c>
      <c r="H2530" s="4" t="n">
        <v>974</v>
      </c>
      <c r="I2530" s="5" t="n">
        <v>82.09999999999999</v>
      </c>
      <c r="J2530" s="5" t="n">
        <v>22.7</v>
      </c>
      <c r="K2530" s="3" t="inlineStr">
        <is>
          <t>세종ic인근 토지</t>
        </is>
      </c>
      <c r="L2530" s="6">
        <f>HYPERLINK("https://fin.land.naver.com/articles/2651170643", "매물Link")</f>
        <v/>
      </c>
      <c r="M2530" s="6">
        <f>HYPERLINK("https://map.naver.com/p/search/장군면 용현리 234-1", "지도Link")</f>
        <v/>
      </c>
      <c r="N2530" s="6">
        <f>HYPERLINK("http://www.eum.go.kr/web/ar/lu/luLandDet.jsp?pnu=3611035032102340001&amp;isNoScr=script&amp;mode=search", "토지이음")</f>
        <v/>
      </c>
      <c r="O2530" s="3" t="inlineStr">
        <is>
          <t>드림</t>
        </is>
      </c>
      <c r="P2530" s="4" t="n">
        <v>1</v>
      </c>
      <c r="Q2530" s="4" t="n">
        <v>3221.9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평지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용현리 256-1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25000</v>
      </c>
      <c r="G2531" s="4" t="n">
        <v>1021</v>
      </c>
      <c r="H2531" s="4" t="n">
        <v>309</v>
      </c>
      <c r="I2531" s="5" t="n">
        <v>80.90000000000001</v>
      </c>
      <c r="J2531" s="5" t="n">
        <v>26.5</v>
      </c>
      <c r="K2531" s="3" t="inlineStr">
        <is>
          <t>대토추천. 구거접. 포장된 현황도로</t>
        </is>
      </c>
      <c r="L2531" s="6">
        <f>HYPERLINK("https://fin.land.naver.com/articles/2652038803", "매물Link")</f>
        <v/>
      </c>
      <c r="M2531" s="6">
        <f>HYPERLINK("https://map.naver.com/p/search/장군면 용현리 256-1", "지도Link")</f>
        <v/>
      </c>
      <c r="N2531" s="6">
        <f>HYPERLINK("http://www.eum.go.kr/web/ar/lu/luLandDet.jsp?pnu=3611035032102560001&amp;isNoScr=script&amp;mode=search", "토지이음")</f>
        <v/>
      </c>
      <c r="O2531" s="3" t="inlineStr">
        <is>
          <t>미스터홈즈강남지사</t>
        </is>
      </c>
      <c r="P2531" s="4" t="n">
        <v>1</v>
      </c>
      <c r="Q2531" s="4" t="n">
        <v>1021.2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용현리 84</t>
        </is>
      </c>
      <c r="B2532" s="3" t="inlineStr">
        <is>
          <t>계획관리지역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58000</v>
      </c>
      <c r="G2532" s="4" t="n">
        <v>1269</v>
      </c>
      <c r="H2532" s="4" t="n">
        <v>384</v>
      </c>
      <c r="I2532" s="5" t="n">
        <v>151</v>
      </c>
      <c r="J2532" s="5" t="n">
        <v>64.09999999999999</v>
      </c>
      <c r="K2532" s="3" t="inlineStr">
        <is>
          <t>계획관리 대지 매매함</t>
        </is>
      </c>
      <c r="L2532" s="6">
        <f>HYPERLINK("https://fin.land.naver.com/articles/2652621736", "매물Link")</f>
        <v/>
      </c>
      <c r="M2532" s="6">
        <f>HYPERLINK("https://map.naver.com/p/search/장군면 용현리 84", "지도Link")</f>
        <v/>
      </c>
      <c r="N2532" s="6">
        <f>HYPERLINK("http://www.eum.go.kr/web/ar/lu/luLandDet.jsp?pnu=3611035032100840000&amp;isNoScr=script&amp;mode=search", "토지이음")</f>
        <v/>
      </c>
      <c r="O2532" s="3" t="inlineStr">
        <is>
          <t>강나루</t>
        </is>
      </c>
      <c r="P2532" s="4" t="n">
        <v>1</v>
      </c>
      <c r="Q2532" s="4" t="n">
        <v>1269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86-1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170000</v>
      </c>
      <c r="G2533" s="4" t="n">
        <v>3537</v>
      </c>
      <c r="H2533" s="4" t="n">
        <v>1070</v>
      </c>
      <c r="I2533" s="5" t="n">
        <v>158.9</v>
      </c>
      <c r="J2533" s="5" t="n">
        <v>64.09999999999999</v>
      </c>
      <c r="K2533" s="3" t="inlineStr">
        <is>
          <t>4차선도로 진입로 옆 토지 서울세종고속도로와 세종IC 가까움</t>
        </is>
      </c>
      <c r="L2533" s="6">
        <f>HYPERLINK("https://fin.land.naver.com/articles/2655916235", "매물Link")</f>
        <v/>
      </c>
      <c r="M2533" s="6">
        <f>HYPERLINK("https://map.naver.com/p/search/장군면 용현리 86-1", "지도Link")</f>
        <v/>
      </c>
      <c r="N2533" s="6">
        <f>HYPERLINK("http://www.eum.go.kr/web/ar/lu/luLandDet.jsp?pnu=3611035032100860001&amp;isNoScr=script&amp;mode=search", "토지이음")</f>
        <v/>
      </c>
      <c r="O2533" s="3" t="inlineStr">
        <is>
          <t>바다하리</t>
        </is>
      </c>
      <c r="P2533" s="4" t="n">
        <v>1</v>
      </c>
      <c r="Q2533" s="4" t="n">
        <v>2258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용현리 98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25000</v>
      </c>
      <c r="G2534" s="4" t="n">
        <v>367</v>
      </c>
      <c r="H2534" s="4" t="n">
        <v>111</v>
      </c>
      <c r="I2534" s="5" t="n">
        <v>225.2</v>
      </c>
      <c r="J2534" s="5" t="n">
        <v>61.5</v>
      </c>
      <c r="K2534" s="3" t="inlineStr">
        <is>
          <t>급매,도로접 계획관리지역,아늑한 마을 막힘없는 위치,세종시5분거리</t>
        </is>
      </c>
      <c r="L2534" s="6">
        <f>HYPERLINK("https://fin.land.naver.com/articles/2651744795", "매물Link")</f>
        <v/>
      </c>
      <c r="M2534" s="6">
        <f>HYPERLINK("https://map.naver.com/p/search/장군면 용현리 98", "지도Link")</f>
        <v/>
      </c>
      <c r="N2534" s="6">
        <f>HYPERLINK("http://www.eum.go.kr/web/ar/lu/luLandDet.jsp?pnu=3611035032100980000&amp;isNoScr=script&amp;mode=search", "토지이음")</f>
        <v/>
      </c>
      <c r="O2534" s="3" t="inlineStr">
        <is>
          <t>고운맘</t>
        </is>
      </c>
      <c r="P2534" s="4" t="n">
        <v>1</v>
      </c>
      <c r="Q2534" s="4" t="n">
        <v>367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평지</t>
        </is>
      </c>
      <c r="U2534" s="3" t="inlineStr">
        <is>
          <t>부정형</t>
        </is>
      </c>
      <c r="V2534" s="3" t="inlineStr">
        <is>
          <t>세로각지(가)</t>
        </is>
      </c>
    </row>
    <row r="2535">
      <c r="A2535" s="3" t="inlineStr">
        <is>
          <t>장군면 은용리 107-5</t>
        </is>
      </c>
      <c r="B2535" s="3" t="inlineStr">
        <is>
          <t>계획관리지역</t>
        </is>
      </c>
      <c r="C2535" s="3" t="inlineStr">
        <is>
          <t>전</t>
        </is>
      </c>
      <c r="D2535" s="3" t="inlineStr">
        <is>
          <t>전</t>
        </is>
      </c>
      <c r="E2535" s="3" t="inlineStr">
        <is>
          <t>월세</t>
        </is>
      </c>
      <c r="F2535" s="4" t="n">
        <v>10000</v>
      </c>
      <c r="G2535" s="4" t="n">
        <v>1443</v>
      </c>
      <c r="H2535" s="4" t="n">
        <v>437</v>
      </c>
      <c r="I2535" s="5" t="n">
        <v>1.8</v>
      </c>
      <c r="J2535" s="5" t="n">
        <v>233.5</v>
      </c>
      <c r="K2535" s="3" t="inlineStr">
        <is>
          <t>세종강남, 1.2층사무실사용 대형주차장 확보, 서세종IC인근</t>
        </is>
      </c>
      <c r="L2535" s="6">
        <f>HYPERLINK("https://fin.land.naver.com/articles/2652586785", "매물Link")</f>
        <v/>
      </c>
      <c r="M2535" s="6">
        <f>HYPERLINK("https://map.naver.com/p/search/장군면 은용리 107-5", "지도Link")</f>
        <v/>
      </c>
      <c r="N2535" s="6">
        <f>HYPERLINK("http://www.eum.go.kr/web/ar/lu/luLandDet.jsp?pnu=3611035027101070005&amp;isNoScr=script&amp;mode=search", "토지이음")</f>
        <v/>
      </c>
      <c r="O2535" s="3" t="inlineStr">
        <is>
          <t>세종강남</t>
        </is>
      </c>
      <c r="P2535" s="4" t="n">
        <v>1</v>
      </c>
      <c r="Q2535" s="4" t="n">
        <v>1443</v>
      </c>
      <c r="R2535" s="3" t="inlineStr">
        <is>
          <t>지정되지않음</t>
        </is>
      </c>
      <c r="S2535" s="3" t="inlineStr">
        <is>
          <t>상업용</t>
        </is>
      </c>
      <c r="T2535" s="3" t="inlineStr">
        <is>
          <t>평지</t>
        </is>
      </c>
      <c r="U2535" s="3" t="inlineStr">
        <is>
          <t>가로장방</t>
        </is>
      </c>
      <c r="V2535" s="3" t="inlineStr">
        <is>
          <t>세로한면(가)</t>
        </is>
      </c>
    </row>
    <row r="2536">
      <c r="A2536" s="3" t="inlineStr">
        <is>
          <t>장군면 은용리 111-13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20000</v>
      </c>
      <c r="G2536" s="4" t="n">
        <v>211</v>
      </c>
      <c r="H2536" s="4" t="n">
        <v>64</v>
      </c>
      <c r="I2536" s="5" t="n">
        <v>312.5</v>
      </c>
      <c r="J2536" s="5" t="n">
        <v>231.5</v>
      </c>
      <c r="K2536" s="3" t="inlineStr">
        <is>
          <t>세종 장군면 전원생활을 꿈꾸는 분께 추천하는 토지</t>
        </is>
      </c>
      <c r="L2536" s="6">
        <f>HYPERLINK("https://fin.land.naver.com/articles/2655622026", "매물Link")</f>
        <v/>
      </c>
      <c r="M2536" s="6">
        <f>HYPERLINK("https://map.naver.com/p/search/장군면 은용리 111-13", "지도Link")</f>
        <v/>
      </c>
      <c r="N2536" s="6">
        <f>HYPERLINK("http://www.eum.go.kr/web/ar/lu/luLandDet.jsp?pnu=3611035027101110013&amp;isNoScr=script&amp;mode=search", "토지이음")</f>
        <v/>
      </c>
      <c r="O2536" s="3" t="inlineStr">
        <is>
          <t>세종몽땅</t>
        </is>
      </c>
      <c r="P2536" s="4" t="n">
        <v>1</v>
      </c>
      <c r="Q2536" s="4" t="n">
        <v>211</v>
      </c>
      <c r="R2536" s="3" t="inlineStr">
        <is>
          <t>지정되지않음</t>
        </is>
      </c>
      <c r="S2536" s="3" t="inlineStr">
        <is>
          <t>주거기타</t>
        </is>
      </c>
      <c r="T2536" s="3" t="inlineStr">
        <is>
          <t>평지</t>
        </is>
      </c>
      <c r="U2536" s="3" t="inlineStr">
        <is>
          <t>가로장방</t>
        </is>
      </c>
      <c r="V2536" s="3" t="inlineStr">
        <is>
          <t>세로한면(가)</t>
        </is>
      </c>
    </row>
    <row r="2537">
      <c r="A2537" s="3" t="inlineStr">
        <is>
          <t>장군면 은용리 112-25</t>
        </is>
      </c>
      <c r="B2537" s="3" t="inlineStr">
        <is>
          <t>계획관리지역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60000</v>
      </c>
      <c r="G2537" s="4" t="n">
        <v>400</v>
      </c>
      <c r="H2537" s="4" t="n">
        <v>121</v>
      </c>
      <c r="I2537" s="5" t="n">
        <v>495.9</v>
      </c>
      <c r="J2537" s="5" t="n">
        <v>139.5</v>
      </c>
      <c r="K2537" s="3" t="inlineStr">
        <is>
          <t>급매. 장군면 투자용 계획관리토지</t>
        </is>
      </c>
      <c r="L2537" s="6">
        <f>HYPERLINK("https://fin.land.naver.com/articles/2651921996", "매물Link")</f>
        <v/>
      </c>
      <c r="M2537" s="6">
        <f>HYPERLINK("https://map.naver.com/p/search/장군면 은용리 112-25", "지도Link")</f>
        <v/>
      </c>
      <c r="N2537" s="6">
        <f>HYPERLINK("http://www.eum.go.kr/web/ar/lu/luLandDet.jsp?pnu=3611035027101120025&amp;isNoScr=script&amp;mode=search", "토지이음")</f>
        <v/>
      </c>
      <c r="O2537" s="3" t="inlineStr">
        <is>
          <t>강아지풀</t>
        </is>
      </c>
      <c r="P2537" s="4" t="n">
        <v>1</v>
      </c>
      <c r="Q2537" s="4" t="n">
        <v>400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가로장방</t>
        </is>
      </c>
      <c r="V2537" s="3" t="inlineStr">
        <is>
          <t>세로한면(가)</t>
        </is>
      </c>
    </row>
    <row r="2538">
      <c r="A2538" s="3" t="inlineStr">
        <is>
          <t>장군면 은용리 156-4</t>
        </is>
      </c>
      <c r="B2538" s="3" t="inlineStr">
        <is>
          <t>농림지역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15000</v>
      </c>
      <c r="G2538" s="4" t="n">
        <v>1295</v>
      </c>
      <c r="H2538" s="4" t="n">
        <v>392</v>
      </c>
      <c r="I2538" s="5" t="n">
        <v>38.3</v>
      </c>
      <c r="J2538" s="5" t="n">
        <v>52</v>
      </c>
      <c r="K2538" s="3" t="inlineStr">
        <is>
          <t>급매,3면 도로접한 농림지역,텃밭,주말농장</t>
        </is>
      </c>
      <c r="L2538" s="6">
        <f>HYPERLINK("https://fin.land.naver.com/articles/2653220009", "매물Link")</f>
        <v/>
      </c>
      <c r="M2538" s="6">
        <f>HYPERLINK("https://map.naver.com/p/search/장군면 은용리 156-4", "지도Link")</f>
        <v/>
      </c>
      <c r="N2538" s="6">
        <f>HYPERLINK("http://www.eum.go.kr/web/ar/lu/luLandDet.jsp?pnu=3611035027101560004&amp;isNoScr=script&amp;mode=search", "토지이음")</f>
        <v/>
      </c>
      <c r="O2538" s="3" t="inlineStr">
        <is>
          <t>고운맘</t>
        </is>
      </c>
      <c r="P2538" s="4" t="n">
        <v>1</v>
      </c>
      <c r="Q2538" s="4" t="n">
        <v>1295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가로장방</t>
        </is>
      </c>
      <c r="V2538" s="3" t="inlineStr">
        <is>
          <t>세로한면(가)</t>
        </is>
      </c>
    </row>
    <row r="2539">
      <c r="A2539" s="3" t="inlineStr">
        <is>
          <t>장군면 은용리 326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26750</v>
      </c>
      <c r="G2539" s="4" t="n">
        <v>355</v>
      </c>
      <c r="H2539" s="4" t="n">
        <v>107</v>
      </c>
      <c r="I2539" s="5" t="n">
        <v>250</v>
      </c>
      <c r="J2539" s="5" t="n">
        <v>119.2</v>
      </c>
      <c r="K2539" s="3" t="inlineStr">
        <is>
          <t>장군면 은용리 소액 토지 매매</t>
        </is>
      </c>
      <c r="L2539" s="6">
        <f>HYPERLINK("https://fin.land.naver.com/articles/2653813143", "매물Link")</f>
        <v/>
      </c>
      <c r="M2539" s="6">
        <f>HYPERLINK("https://map.naver.com/p/search/장군면 은용리 326", "지도Link")</f>
        <v/>
      </c>
      <c r="N2539" s="6">
        <f>HYPERLINK("http://www.eum.go.kr/web/ar/lu/luLandDet.jsp?pnu=3611035027103260000&amp;isNoScr=script&amp;mode=search", "토지이음")</f>
        <v/>
      </c>
      <c r="O2539" s="3" t="inlineStr">
        <is>
          <t>뉴스카이</t>
        </is>
      </c>
      <c r="P2539" s="4" t="n">
        <v>1</v>
      </c>
      <c r="Q2539" s="4" t="n">
        <v>355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세로장방</t>
        </is>
      </c>
      <c r="V2539" s="3" t="inlineStr">
        <is>
          <t>세로한면(불)</t>
        </is>
      </c>
    </row>
    <row r="2540">
      <c r="A2540" s="3" t="inlineStr">
        <is>
          <t>장군면 은용리 419-1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206000</v>
      </c>
      <c r="G2540" s="4" t="n">
        <v>3243</v>
      </c>
      <c r="H2540" s="4" t="n">
        <v>981</v>
      </c>
      <c r="I2540" s="5" t="n">
        <v>210</v>
      </c>
      <c r="J2540" s="5" t="n">
        <v>57.9</v>
      </c>
      <c r="K2540" s="3" t="inlineStr">
        <is>
          <t>은용리 계획관리지역 토지매매12분할매매 가능</t>
        </is>
      </c>
      <c r="L2540" s="6">
        <f>HYPERLINK("https://fin.land.naver.com/articles/2652043086", "매물Link")</f>
        <v/>
      </c>
      <c r="M2540" s="6">
        <f>HYPERLINK("https://map.naver.com/p/search/장군면 은용리 419-1", "지도Link")</f>
        <v/>
      </c>
      <c r="N2540" s="6">
        <f>HYPERLINK("http://www.eum.go.kr/web/ar/lu/luLandDet.jsp?pnu=3611035027104190001&amp;isNoScr=script&amp;mode=search", "토지이음")</f>
        <v/>
      </c>
      <c r="O2540" s="3" t="inlineStr">
        <is>
          <t>에이스</t>
        </is>
      </c>
      <c r="P2540" s="4" t="n">
        <v>1</v>
      </c>
      <c r="Q2540" s="4" t="n">
        <v>3243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은용리 459-2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53750</v>
      </c>
      <c r="G2541" s="4" t="n">
        <v>711</v>
      </c>
      <c r="H2541" s="4" t="n">
        <v>215</v>
      </c>
      <c r="I2541" s="5" t="n">
        <v>250</v>
      </c>
      <c r="J2541" s="5" t="n">
        <v>107.5</v>
      </c>
      <c r="K2541" s="3" t="inlineStr">
        <is>
          <t>계획관리,성장관리 투자용 좋음</t>
        </is>
      </c>
      <c r="L2541" s="6">
        <f>HYPERLINK("https://fin.land.naver.com/articles/2653126167", "매물Link")</f>
        <v/>
      </c>
      <c r="M2541" s="6">
        <f>HYPERLINK("https://map.naver.com/p/search/장군면 은용리 459-2", "지도Link")</f>
        <v/>
      </c>
      <c r="N2541" s="6">
        <f>HYPERLINK("http://www.eum.go.kr/web/ar/lu/luLandDet.jsp?pnu=3611035027104590002&amp;isNoScr=script&amp;mode=search", "토지이음")</f>
        <v/>
      </c>
      <c r="O2541" s="3" t="inlineStr">
        <is>
          <t>킹</t>
        </is>
      </c>
      <c r="P2541" s="4" t="n">
        <v>1</v>
      </c>
      <c r="Q2541" s="4" t="n">
        <v>711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은용리 459-2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49500</v>
      </c>
      <c r="G2542" s="4" t="n">
        <v>711</v>
      </c>
      <c r="H2542" s="4" t="n">
        <v>215</v>
      </c>
      <c r="I2542" s="5" t="n">
        <v>230.2</v>
      </c>
      <c r="J2542" s="5" t="n">
        <v>107.5</v>
      </c>
      <c r="K2542" s="3" t="inlineStr">
        <is>
          <t>지대가 높아서 조망 훤히 트임,도로지분별도</t>
        </is>
      </c>
      <c r="L2542" s="6">
        <f>HYPERLINK("https://fin.land.naver.com/articles/2654991193", "매물Link")</f>
        <v/>
      </c>
      <c r="M2542" s="6">
        <f>HYPERLINK("https://map.naver.com/p/search/장군면 은용리 459-2", "지도Link")</f>
        <v/>
      </c>
      <c r="N2542" s="6">
        <f>HYPERLINK("http://www.eum.go.kr/web/ar/lu/luLandDet.jsp?pnu=3611035027104590002&amp;isNoScr=script&amp;mode=search", "토지이음")</f>
        <v/>
      </c>
      <c r="O2542" s="3" t="inlineStr">
        <is>
          <t>세종공주제일</t>
        </is>
      </c>
      <c r="P2542" s="4" t="n">
        <v>1</v>
      </c>
      <c r="Q2542" s="4" t="n">
        <v>711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은용리 82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1473000</v>
      </c>
      <c r="G2543" s="4" t="n">
        <v>3246</v>
      </c>
      <c r="H2543" s="4" t="n">
        <v>982</v>
      </c>
      <c r="I2543" s="5" t="n">
        <v>1500</v>
      </c>
      <c r="J2543" s="5" t="n">
        <v>148.3</v>
      </c>
      <c r="K2543" s="3" t="inlineStr">
        <is>
          <t>은용리 일대 3필지(전) 평당 1500만원 매매</t>
        </is>
      </c>
      <c r="L2543" s="6">
        <f>HYPERLINK("https://fin.land.naver.com/articles/2654379502", "매물Link")</f>
        <v/>
      </c>
      <c r="M2543" s="6">
        <f>HYPERLINK("https://map.naver.com/p/search/장군면 은용리 82", "지도Link")</f>
        <v/>
      </c>
      <c r="N2543" s="6">
        <f>HYPERLINK("http://www.eum.go.kr/web/ar/lu/luLandDet.jsp?pnu=3611035027100820000&amp;isNoScr=script&amp;mode=search", "토지이음")</f>
        <v/>
      </c>
      <c r="O2543" s="3" t="inlineStr">
        <is>
          <t>수자인시티</t>
        </is>
      </c>
      <c r="P2543" s="4" t="n">
        <v>2</v>
      </c>
      <c r="Q2543" s="4" t="n">
        <v>1991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소로한면</t>
        </is>
      </c>
    </row>
    <row r="2544">
      <c r="A2544" s="3" t="inlineStr">
        <is>
          <t>장군면 은용리 82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1473000</v>
      </c>
      <c r="G2544" s="4" t="n">
        <v>3246</v>
      </c>
      <c r="H2544" s="4" t="n">
        <v>982</v>
      </c>
      <c r="I2544" s="5" t="n">
        <v>1500</v>
      </c>
      <c r="J2544" s="5" t="n">
        <v>148.3</v>
      </c>
      <c r="K2544" s="3" t="inlineStr">
        <is>
          <t>6차선 도로접,위치 좋은 근생부지, 서비스센터부지 추천 ,</t>
        </is>
      </c>
      <c r="L2544" s="6">
        <f>HYPERLINK("https://fin.land.naver.com/articles/2652752326", "매물Link")</f>
        <v/>
      </c>
      <c r="M2544" s="6">
        <f>HYPERLINK("https://map.naver.com/p/search/장군면 은용리 82", "지도Link")</f>
        <v/>
      </c>
      <c r="N2544" s="6">
        <f>HYPERLINK("http://www.eum.go.kr/web/ar/lu/luLandDet.jsp?pnu=3611035027100820000&amp;isNoScr=script&amp;mode=search", "토지이음")</f>
        <v/>
      </c>
      <c r="O2544" s="3" t="inlineStr">
        <is>
          <t>담뜰</t>
        </is>
      </c>
      <c r="P2544" s="4" t="n">
        <v>2</v>
      </c>
      <c r="Q2544" s="4" t="n">
        <v>1991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소로한면</t>
        </is>
      </c>
    </row>
    <row r="2545">
      <c r="A2545" s="3" t="inlineStr">
        <is>
          <t>장군면 은용리 82</t>
        </is>
      </c>
      <c r="B2545" s="3" t="inlineStr">
        <is>
          <t>계획관리지역</t>
        </is>
      </c>
      <c r="C2545" s="3" t="inlineStr">
        <is>
          <t>전</t>
        </is>
      </c>
      <c r="D2545" s="3" t="inlineStr">
        <is>
          <t>전</t>
        </is>
      </c>
      <c r="E2545" s="3" t="inlineStr">
        <is>
          <t>매매</t>
        </is>
      </c>
      <c r="F2545" s="4" t="n">
        <v>1473000</v>
      </c>
      <c r="G2545" s="4" t="n">
        <v>3246</v>
      </c>
      <c r="H2545" s="4" t="n">
        <v>982</v>
      </c>
      <c r="I2545" s="5" t="n">
        <v>1500</v>
      </c>
      <c r="J2545" s="5" t="n">
        <v>148.3</v>
      </c>
      <c r="K2545" s="3" t="inlineStr">
        <is>
          <t>노출효과 좋은 자리 선점하세요</t>
        </is>
      </c>
      <c r="L2545" s="6">
        <f>HYPERLINK("https://fin.land.naver.com/articles/2654845652", "매물Link")</f>
        <v/>
      </c>
      <c r="M2545" s="6">
        <f>HYPERLINK("https://map.naver.com/p/search/장군면 은용리 82", "지도Link")</f>
        <v/>
      </c>
      <c r="N2545" s="6">
        <f>HYPERLINK("http://www.eum.go.kr/web/ar/lu/luLandDet.jsp?pnu=3611035027100820000&amp;isNoScr=script&amp;mode=search", "토지이음")</f>
        <v/>
      </c>
      <c r="O2545" s="3" t="inlineStr">
        <is>
          <t>세종대평</t>
        </is>
      </c>
      <c r="P2545" s="4" t="n">
        <v>1</v>
      </c>
      <c r="Q2545" s="4" t="n">
        <v>1991</v>
      </c>
      <c r="R2545" s="3" t="inlineStr">
        <is>
          <t>지정되지않음</t>
        </is>
      </c>
      <c r="S2545" s="3" t="inlineStr">
        <is>
          <t>전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은용리 82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1473000</v>
      </c>
      <c r="G2546" s="4" t="n">
        <v>3246</v>
      </c>
      <c r="H2546" s="4" t="n">
        <v>982</v>
      </c>
      <c r="I2546" s="5" t="n">
        <v>1500</v>
      </c>
      <c r="J2546" s="5" t="n">
        <v>148.3</v>
      </c>
      <c r="K2546" s="3" t="inlineStr">
        <is>
          <t>왕복6차선 도로접 계획관리.성장관리 토지</t>
        </is>
      </c>
      <c r="L2546" s="6">
        <f>HYPERLINK("https://fin.land.naver.com/articles/2650933064", "매물Link")</f>
        <v/>
      </c>
      <c r="M2546" s="6">
        <f>HYPERLINK("https://map.naver.com/p/search/장군면 은용리 82", "지도Link")</f>
        <v/>
      </c>
      <c r="N2546" s="6">
        <f>HYPERLINK("http://www.eum.go.kr/web/ar/lu/luLandDet.jsp?pnu=3611035027100820000&amp;isNoScr=script&amp;mode=search", "토지이음")</f>
        <v/>
      </c>
      <c r="O2546" s="3" t="inlineStr">
        <is>
          <t>법조연합은온</t>
        </is>
      </c>
      <c r="P2546" s="4" t="n">
        <v>1</v>
      </c>
      <c r="Q2546" s="4" t="n">
        <v>1991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소로한면</t>
        </is>
      </c>
    </row>
    <row r="2547">
      <c r="A2547" s="3" t="inlineStr">
        <is>
          <t>장군면 은용리 9-4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115000</v>
      </c>
      <c r="G2547" s="4" t="n">
        <v>2990</v>
      </c>
      <c r="H2547" s="4" t="n">
        <v>904</v>
      </c>
      <c r="I2547" s="5" t="n">
        <v>127.2</v>
      </c>
      <c r="J2547" s="5" t="n">
        <v>55.8</v>
      </c>
      <c r="K2547" s="3" t="inlineStr">
        <is>
          <t>향후 지가 상승 기대 대토용 토지 모든 조건 맞춰드립니다</t>
        </is>
      </c>
      <c r="L2547" s="6">
        <f>HYPERLINK("https://fin.land.naver.com/articles/2654678612", "매물Link")</f>
        <v/>
      </c>
      <c r="M2547" s="6">
        <f>HYPERLINK("https://map.naver.com/p/search/장군면 은용리 9-4", "지도Link")</f>
        <v/>
      </c>
      <c r="N2547" s="6">
        <f>HYPERLINK("http://www.eum.go.kr/web/ar/lu/luLandDet.jsp?pnu=3611035027100090004&amp;isNoScr=script&amp;mode=search",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2990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세로한면(가)</t>
        </is>
      </c>
    </row>
    <row r="2548">
      <c r="A2548" s="3" t="inlineStr">
        <is>
          <t>장군면 은용리 90-1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62800</v>
      </c>
      <c r="G2548" s="4" t="n">
        <v>519</v>
      </c>
      <c r="H2548" s="4" t="n">
        <v>157</v>
      </c>
      <c r="I2548" s="5" t="n">
        <v>400</v>
      </c>
      <c r="J2548" s="5" t="n">
        <v>116.8</v>
      </c>
      <c r="K2548" s="3" t="inlineStr">
        <is>
          <t>가격조율 가능, 지대 높은 전원주택지로 추천, 전원주택과 마을 회관 근접</t>
        </is>
      </c>
      <c r="L2548" s="6">
        <f>HYPERLINK("https://fin.land.naver.com/articles/2651993423", "매물Link")</f>
        <v/>
      </c>
      <c r="M2548" s="6">
        <f>HYPERLINK("https://map.naver.com/p/search/장군면 은용리 90-1", "지도Link")</f>
        <v/>
      </c>
      <c r="N2548" s="6">
        <f>HYPERLINK("http://www.eum.go.kr/web/ar/lu/luLandDet.jsp?pnu=3611035027100900001&amp;isNoScr=script&amp;mode=search", "토지이음")</f>
        <v/>
      </c>
      <c r="O2548" s="3" t="inlineStr">
        <is>
          <t>담뜰</t>
        </is>
      </c>
      <c r="P2548" s="4" t="n">
        <v>1</v>
      </c>
      <c r="Q2548" s="4" t="n">
        <v>519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세로한면(불)</t>
        </is>
      </c>
    </row>
    <row r="2549">
      <c r="A2549" s="3" t="inlineStr">
        <is>
          <t>장군면 태산리 122-2</t>
        </is>
      </c>
      <c r="B2549" s="3" t="inlineStr">
        <is>
          <t>생산관리지역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31000</v>
      </c>
      <c r="G2549" s="4" t="n">
        <v>760</v>
      </c>
      <c r="H2549" s="4" t="n">
        <v>230</v>
      </c>
      <c r="I2549" s="5" t="n">
        <v>134.8</v>
      </c>
      <c r="J2549" s="5" t="n">
        <v>27.5</v>
      </c>
      <c r="K2549" s="3" t="inlineStr">
        <is>
          <t>세종서울고속도로IC 및 세종산단인근 최대한조율 해드릴께요</t>
        </is>
      </c>
      <c r="L2549" s="6">
        <f>HYPERLINK("https://fin.land.naver.com/articles/2652293624", "매물Link")</f>
        <v/>
      </c>
      <c r="M2549" s="6">
        <f>HYPERLINK("https://map.naver.com/p/search/장군면 태산리 122-2", "지도Link")</f>
        <v/>
      </c>
      <c r="N2549" s="6">
        <f>HYPERLINK("http://www.eum.go.kr/web/ar/lu/luLandDet.jsp?pnu=3611035034101220002&amp;isNoScr=script&amp;mode=search", "토지이음")</f>
        <v/>
      </c>
      <c r="O2549" s="3" t="inlineStr">
        <is>
          <t>세종강남</t>
        </is>
      </c>
      <c r="P2549" s="4" t="n">
        <v>1</v>
      </c>
      <c r="Q2549" s="4" t="n">
        <v>760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태산리 188-66</t>
        </is>
      </c>
      <c r="B2550" s="3" t="inlineStr">
        <is>
          <t>보전관리지역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20000</v>
      </c>
      <c r="G2550" s="4" t="n">
        <v>577</v>
      </c>
      <c r="H2550" s="4" t="n">
        <v>175</v>
      </c>
      <c r="I2550" s="5" t="n">
        <v>114.3</v>
      </c>
      <c r="J2550" s="5" t="n">
        <v>101</v>
      </c>
      <c r="K2550" s="3" t="inlineStr">
        <is>
          <t>장군면 태산리  대지 및 임야보전관리 577㎡</t>
        </is>
      </c>
      <c r="L2550" s="6">
        <f>HYPERLINK("https://fin.land.naver.com/articles/2655226290", "매물Link")</f>
        <v/>
      </c>
      <c r="M2550" s="6">
        <f>HYPERLINK("https://map.naver.com/p/search/장군면 태산리 188-66", "지도Link")</f>
        <v/>
      </c>
      <c r="N2550" s="6">
        <f>HYPERLINK("http://www.eum.go.kr/web/ar/lu/luLandDet.jsp?pnu=3611035034101880066&amp;isNoScr=script&amp;mode=search", "토지이음")</f>
        <v/>
      </c>
      <c r="O2550" s="3" t="inlineStr">
        <is>
          <t>반곡열린</t>
        </is>
      </c>
      <c r="P2550" s="4" t="n">
        <v>1</v>
      </c>
      <c r="Q2550" s="4" t="n">
        <v>464</v>
      </c>
      <c r="R2550" s="3" t="inlineStr">
        <is>
          <t>지정되지않음</t>
        </is>
      </c>
      <c r="S2550" s="3" t="inlineStr">
        <is>
          <t>주거나지</t>
        </is>
      </c>
      <c r="T2550" s="3" t="inlineStr">
        <is>
          <t>완경사</t>
        </is>
      </c>
      <c r="U2550" s="3" t="inlineStr">
        <is>
          <t>사다리형</t>
        </is>
      </c>
      <c r="V2550" s="3" t="inlineStr">
        <is>
          <t>세로한면(가)</t>
        </is>
      </c>
    </row>
    <row r="2551">
      <c r="A2551" s="3" t="inlineStr">
        <is>
          <t>장군면 태산리 318</t>
        </is>
      </c>
      <c r="B2551" s="3" t="inlineStr">
        <is>
          <t>농림지역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70000</v>
      </c>
      <c r="G2551" s="4" t="n">
        <v>5802</v>
      </c>
      <c r="H2551" s="4" t="n">
        <v>1755</v>
      </c>
      <c r="I2551" s="5" t="n">
        <v>39.9</v>
      </c>
      <c r="J2551" s="5" t="n">
        <v>22.4</v>
      </c>
      <c r="K2551" s="3" t="inlineStr">
        <is>
          <t>도로접 농지매매</t>
        </is>
      </c>
      <c r="L2551" s="6">
        <f>HYPERLINK("https://fin.land.naver.com/articles/2655884026", "매물Link")</f>
        <v/>
      </c>
      <c r="M2551" s="6">
        <f>HYPERLINK("https://map.naver.com/p/search/장군면 태산리 318", "지도Link")</f>
        <v/>
      </c>
      <c r="N2551" s="6">
        <f>HYPERLINK("http://www.eum.go.kr/web/ar/lu/luLandDet.jsp?pnu=3611035034103180000&amp;isNoScr=script&amp;mode=search", "토지이음")</f>
        <v/>
      </c>
      <c r="O2551" s="3" t="inlineStr">
        <is>
          <t>둔산엘리프 더센트럴 탑</t>
        </is>
      </c>
      <c r="P2551" s="4" t="n">
        <v>1</v>
      </c>
      <c r="Q2551" s="4" t="n">
        <v>5802.2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태산리 324-9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34100</v>
      </c>
      <c r="G2552" s="4" t="n">
        <v>2188</v>
      </c>
      <c r="H2552" s="4" t="n">
        <v>662</v>
      </c>
      <c r="I2552" s="5" t="n">
        <v>51.5</v>
      </c>
      <c r="J2552" s="5" t="n">
        <v>22.4</v>
      </c>
      <c r="K2552" s="3" t="inlineStr">
        <is>
          <t>세종 장군면 평탄 농지, 영농·시설하우스 검토 추천</t>
        </is>
      </c>
      <c r="L2552" s="6">
        <f>HYPERLINK("https://fin.land.naver.com/articles/2655432030", "매물Link")</f>
        <v/>
      </c>
      <c r="M2552" s="6">
        <f>HYPERLINK("https://map.naver.com/p/search/장군면 태산리 324-9", "지도Link")</f>
        <v/>
      </c>
      <c r="N2552" s="6">
        <f>HYPERLINK("http://www.eum.go.kr/web/ar/lu/luLandDet.jsp?pnu=3611035034103240009&amp;isNoScr=script&amp;mode=search", "토지이음")</f>
        <v/>
      </c>
      <c r="O2552" s="3" t="inlineStr">
        <is>
          <t>세종소담황금</t>
        </is>
      </c>
      <c r="P2552" s="4" t="n">
        <v>1</v>
      </c>
      <c r="Q2552" s="4" t="n">
        <v>2254.4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태산리 324-9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41000</v>
      </c>
      <c r="G2553" s="4" t="n">
        <v>2254</v>
      </c>
      <c r="H2553" s="4" t="n">
        <v>682</v>
      </c>
      <c r="I2553" s="5" t="n">
        <v>60.1</v>
      </c>
      <c r="J2553" s="5" t="n">
        <v>22.4</v>
      </c>
      <c r="K2553" s="3" t="inlineStr">
        <is>
          <t>세종신도시 인접한 농지 도로접근용이</t>
        </is>
      </c>
      <c r="L2553" s="6">
        <f>HYPERLINK("https://fin.land.naver.com/articles/2654543541", "매물Link")</f>
        <v/>
      </c>
      <c r="M2553" s="6">
        <f>HYPERLINK("https://map.naver.com/p/search/장군면 태산리 324-9", "지도Link")</f>
        <v/>
      </c>
      <c r="N2553" s="6">
        <f>HYPERLINK("http://www.eum.go.kr/web/ar/lu/luLandDet.jsp?pnu=3611035034103240009&amp;isNoScr=script&amp;mode=search", "토지이음")</f>
        <v/>
      </c>
      <c r="O2553" s="3" t="inlineStr">
        <is>
          <t>포스코</t>
        </is>
      </c>
      <c r="P2553" s="4" t="n">
        <v>2</v>
      </c>
      <c r="Q2553" s="4" t="n">
        <v>2254.4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태산리 350-5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119800</v>
      </c>
      <c r="G2554" s="4" t="n">
        <v>3960</v>
      </c>
      <c r="H2554" s="4" t="n">
        <v>1198</v>
      </c>
      <c r="I2554" s="5" t="n">
        <v>100</v>
      </c>
      <c r="J2554" s="5" t="n">
        <v>36.5</v>
      </c>
      <c r="K2554" s="3" t="inlineStr">
        <is>
          <t>의랑초등학교 인근 답 매매 2필지</t>
        </is>
      </c>
      <c r="L2554" s="6">
        <f>HYPERLINK("https://fin.land.naver.com/articles/2652022434", "매물Link")</f>
        <v/>
      </c>
      <c r="M2554" s="6">
        <f>HYPERLINK("https://map.naver.com/p/search/장군면 태산리 350-5", "지도Link")</f>
        <v/>
      </c>
      <c r="N2554" s="6">
        <f>HYPERLINK("http://www.eum.go.kr/web/ar/lu/luLandDet.jsp?pnu=3611035034103500005&amp;isNoScr=script&amp;mode=search", "토지이음")</f>
        <v/>
      </c>
      <c r="O2554" s="3" t="inlineStr">
        <is>
          <t>장승배기</t>
        </is>
      </c>
      <c r="P2554" s="4" t="n">
        <v>1</v>
      </c>
      <c r="Q2554" s="4" t="n">
        <v>1911.6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태산리 59-1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47000</v>
      </c>
      <c r="G2555" s="4" t="n">
        <v>1715</v>
      </c>
      <c r="H2555" s="4" t="n">
        <v>519</v>
      </c>
      <c r="I2555" s="5" t="n">
        <v>90.59999999999999</v>
      </c>
      <c r="J2555" s="5" t="n">
        <v>34.1</v>
      </c>
      <c r="K2555" s="3" t="inlineStr">
        <is>
          <t>창고, 유실수등 관리 잘 된 토지 매매</t>
        </is>
      </c>
      <c r="L2555" s="6">
        <f>HYPERLINK("https://fin.land.naver.com/articles/2654379919", "매물Link")</f>
        <v/>
      </c>
      <c r="M2555" s="6">
        <f>HYPERLINK("https://map.naver.com/p/search/장군면 태산리 59-1", "지도Link")</f>
        <v/>
      </c>
      <c r="N2555" s="6">
        <f>HYPERLINK("http://www.eum.go.kr/web/ar/lu/luLandDet.jsp?pnu=3611035034100590001&amp;isNoScr=script&amp;mode=search", "토지이음")</f>
        <v/>
      </c>
      <c r="O2555" s="3" t="inlineStr">
        <is>
          <t>수자인시티</t>
        </is>
      </c>
      <c r="P2555" s="4" t="n">
        <v>1</v>
      </c>
      <c r="Q2555" s="4" t="n">
        <v>526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80</t>
        </is>
      </c>
      <c r="B2556" s="3" t="inlineStr">
        <is>
          <t>생산관리지역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28200</v>
      </c>
      <c r="G2556" s="4" t="n">
        <v>932</v>
      </c>
      <c r="H2556" s="4" t="n">
        <v>282</v>
      </c>
      <c r="I2556" s="5" t="n">
        <v>100</v>
      </c>
      <c r="J2556" s="5" t="n">
        <v>19.7</v>
      </c>
      <c r="K2556" s="3" t="inlineStr">
        <is>
          <t>고속도로ic인근 반듯한 조경수식재중인 생산관리 전</t>
        </is>
      </c>
      <c r="L2556" s="6">
        <f>HYPERLINK("https://fin.land.naver.com/articles/2653833907", "매물Link")</f>
        <v/>
      </c>
      <c r="M2556" s="6">
        <f>HYPERLINK("https://map.naver.com/p/search/장군면 태산리 80", "지도Link")</f>
        <v/>
      </c>
      <c r="N2556" s="6">
        <f>HYPERLINK("http://www.eum.go.kr/web/ar/lu/luLandDet.jsp?pnu=3611035034100800000&amp;isNoScr=script&amp;mode=search", "토지이음")</f>
        <v/>
      </c>
      <c r="O2556" s="3" t="inlineStr">
        <is>
          <t>KB</t>
        </is>
      </c>
      <c r="P2556" s="4" t="n">
        <v>1</v>
      </c>
      <c r="Q2556" s="4" t="n">
        <v>932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평기리 106-12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130000</v>
      </c>
      <c r="G2557" s="4" t="n">
        <v>2680</v>
      </c>
      <c r="H2557" s="4" t="n">
        <v>811</v>
      </c>
      <c r="I2557" s="5" t="n">
        <v>160.3</v>
      </c>
      <c r="J2557" s="5" t="n">
        <v>38</v>
      </c>
      <c r="K2557" s="3" t="inlineStr">
        <is>
          <t>급매, 농가주택 가능,  대토용, 투자용</t>
        </is>
      </c>
      <c r="L2557" s="6">
        <f>HYPERLINK("https://fin.land.naver.com/articles/2652663278", "매물Link")</f>
        <v/>
      </c>
      <c r="M2557" s="6">
        <f>HYPERLINK("https://map.naver.com/p/search/장군면 평기리 106-12", "지도Link")</f>
        <v/>
      </c>
      <c r="N2557" s="6">
        <f>HYPERLINK("http://www.eum.go.kr/web/ar/lu/luLandDet.jsp?pnu=3611035022101060012&amp;isNoScr=script&amp;mode=search", "토지이음")</f>
        <v/>
      </c>
      <c r="O2557" s="3" t="inlineStr">
        <is>
          <t>고운동리치세종</t>
        </is>
      </c>
      <c r="P2557" s="4" t="n">
        <v>1</v>
      </c>
      <c r="Q2557" s="4" t="n">
        <v>2680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소로한면</t>
        </is>
      </c>
    </row>
    <row r="2558">
      <c r="A2558" s="3" t="inlineStr">
        <is>
          <t>장군면 평기리 106-12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130000</v>
      </c>
      <c r="G2558" s="4" t="n">
        <v>2680</v>
      </c>
      <c r="H2558" s="4" t="n">
        <v>811</v>
      </c>
      <c r="I2558" s="5" t="n">
        <v>160.3</v>
      </c>
      <c r="J2558" s="5" t="n">
        <v>38</v>
      </c>
      <c r="K2558" s="3" t="inlineStr">
        <is>
          <t>2차선 지방도에 접해있고 주택 건축이 가능한 농림지역, 인근 리조트 건설</t>
        </is>
      </c>
      <c r="L2558" s="6">
        <f>HYPERLINK("https://fin.land.naver.com/articles/2655656623", "매물Link")</f>
        <v/>
      </c>
      <c r="M2558" s="6">
        <f>HYPERLINK("https://map.naver.com/p/search/장군면 평기리 106-12", "지도Link")</f>
        <v/>
      </c>
      <c r="N2558" s="6">
        <f>HYPERLINK("http://www.eum.go.kr/web/ar/lu/luLandDet.jsp?pnu=3611035022101060012&amp;isNoScr=script&amp;mode=search", "토지이음")</f>
        <v/>
      </c>
      <c r="O2558" s="3" t="inlineStr">
        <is>
          <t>온뜰</t>
        </is>
      </c>
      <c r="P2558" s="4" t="n">
        <v>1</v>
      </c>
      <c r="Q2558" s="4" t="n">
        <v>2680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장군면 평기리 130-2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68000</v>
      </c>
      <c r="G2559" s="4" t="n">
        <v>1488</v>
      </c>
      <c r="H2559" s="4" t="n">
        <v>450</v>
      </c>
      <c r="I2559" s="5" t="n">
        <v>151.1</v>
      </c>
      <c r="J2559" s="5" t="n">
        <v>53.8</v>
      </c>
      <c r="K2559" s="3" t="inlineStr">
        <is>
          <t>장군면 평기리 계획관리지역</t>
        </is>
      </c>
      <c r="L2559" s="6">
        <f>HYPERLINK("https://fin.land.naver.com/articles/2656000922", "매물Link")</f>
        <v/>
      </c>
      <c r="M2559" s="6">
        <f>HYPERLINK("https://map.naver.com/p/search/장군면 평기리 130-2", "지도Link")</f>
        <v/>
      </c>
      <c r="N2559" s="6">
        <f>HYPERLINK("http://www.eum.go.kr/web/ar/lu/luLandDet.jsp?pnu=3611035022101300002&amp;isNoScr=script&amp;mode=search", "토지이음")</f>
        <v/>
      </c>
      <c r="O2559" s="3" t="inlineStr">
        <is>
          <t>세종천지</t>
        </is>
      </c>
      <c r="P2559" s="4" t="n">
        <v>1</v>
      </c>
      <c r="Q2559" s="4" t="n">
        <v>1488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평기리 14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월세</t>
        </is>
      </c>
      <c r="F2560" s="4" t="n">
        <v>5000</v>
      </c>
      <c r="G2560" s="4" t="n">
        <v>3025</v>
      </c>
      <c r="H2560" s="4" t="n">
        <v>915</v>
      </c>
      <c r="I2560" s="5" t="n">
        <v>0.2</v>
      </c>
      <c r="J2560" s="5" t="n">
        <v>75.8</v>
      </c>
      <c r="K2560" s="3" t="inlineStr">
        <is>
          <t>nan</t>
        </is>
      </c>
      <c r="L2560" s="6">
        <f>HYPERLINK("https://fin.land.naver.com/articles/2652409130", "매물Link")</f>
        <v/>
      </c>
      <c r="M2560" s="6">
        <f>HYPERLINK("https://map.naver.com/p/search/장군면 평기리 14", "지도Link")</f>
        <v/>
      </c>
      <c r="N2560" s="6">
        <f>HYPERLINK("http://www.eum.go.kr/web/ar/lu/luLandDet.jsp?pnu=3611035022100140000&amp;isNoScr=script&amp;mode=search", "토지이음")</f>
        <v/>
      </c>
      <c r="O2560" s="3" t="inlineStr">
        <is>
          <t>세종공주제일</t>
        </is>
      </c>
      <c r="P2560" s="4" t="n">
        <v>1</v>
      </c>
      <c r="Q2560" s="4" t="n">
        <v>520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평기리 175-4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52000</v>
      </c>
      <c r="G2561" s="4" t="n">
        <v>660</v>
      </c>
      <c r="H2561" s="4" t="n">
        <v>200</v>
      </c>
      <c r="I2561" s="5" t="n">
        <v>260</v>
      </c>
      <c r="J2561" s="5" t="n">
        <v>114.9</v>
      </c>
      <c r="K2561" s="3" t="inlineStr">
        <is>
          <t>계획관리 자연취락지구, 평기길 후면 포장도로 접, 구옥이 있음</t>
        </is>
      </c>
      <c r="L2561" s="6">
        <f>HYPERLINK("https://fin.land.naver.com/articles/2656103810", "매물Link")</f>
        <v/>
      </c>
      <c r="M2561" s="6">
        <f>HYPERLINK("https://map.naver.com/p/search/장군면 평기리 175-4", "지도Link")</f>
        <v/>
      </c>
      <c r="N2561" s="6">
        <f>HYPERLINK("http://www.eum.go.kr/web/ar/lu/luLandDet.jsp?pnu=3611035022101750004&amp;isNoScr=script&amp;mode=search",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660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평지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평기리 18-7</t>
        </is>
      </c>
      <c r="B2562" s="3" t="inlineStr">
        <is>
          <t>보전관리지역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102000</v>
      </c>
      <c r="G2562" s="4" t="n">
        <v>2248</v>
      </c>
      <c r="H2562" s="4" t="n">
        <v>680</v>
      </c>
      <c r="I2562" s="5" t="n">
        <v>150</v>
      </c>
      <c r="J2562" s="5" t="n">
        <v>38.5</v>
      </c>
      <c r="K2562" s="3" t="inlineStr">
        <is>
          <t>2차선접, 공장 상업용지</t>
        </is>
      </c>
      <c r="L2562" s="6">
        <f>HYPERLINK("https://fin.land.naver.com/articles/2652726320", "매물Link")</f>
        <v/>
      </c>
      <c r="M2562" s="6">
        <f>HYPERLINK("https://map.naver.com/p/search/장군면 평기리 18-7", "지도Link")</f>
        <v/>
      </c>
      <c r="N2562" s="6">
        <f>HYPERLINK("http://www.eum.go.kr/web/ar/lu/luLandDet.jsp?pnu=3611035022100180007&amp;isNoScr=script&amp;mode=search", "토지이음")</f>
        <v/>
      </c>
      <c r="O2562" s="3" t="inlineStr">
        <is>
          <t>대박</t>
        </is>
      </c>
      <c r="P2562" s="4" t="n">
        <v>1</v>
      </c>
      <c r="Q2562" s="4" t="n">
        <v>2248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자루형</t>
        </is>
      </c>
      <c r="V2562" s="3" t="inlineStr">
        <is>
          <t>세로한면(가)</t>
        </is>
      </c>
    </row>
    <row r="2563">
      <c r="A2563" s="3" t="inlineStr">
        <is>
          <t>장군면 평기리 203-1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100000</v>
      </c>
      <c r="G2563" s="4" t="n">
        <v>3319</v>
      </c>
      <c r="H2563" s="4" t="n">
        <v>1004</v>
      </c>
      <c r="I2563" s="5" t="n">
        <v>99.59999999999999</v>
      </c>
      <c r="J2563" s="5" t="n">
        <v>38.8</v>
      </c>
      <c r="K2563" s="3" t="inlineStr">
        <is>
          <t>대로변근접, 투자용, 대토용</t>
        </is>
      </c>
      <c r="L2563" s="6">
        <f>HYPERLINK("https://fin.land.naver.com/articles/2654626253", "매물Link")</f>
        <v/>
      </c>
      <c r="M2563" s="6">
        <f>HYPERLINK("https://map.naver.com/p/search/장군면 평기리 203-1", "지도Link")</f>
        <v/>
      </c>
      <c r="N2563" s="6">
        <f>HYPERLINK("http://www.eum.go.kr/web/ar/lu/luLandDet.jsp?pnu=3611035022102030001&amp;isNoScr=script&amp;mode=search", "토지이음")</f>
        <v/>
      </c>
      <c r="O2563" s="3" t="inlineStr">
        <is>
          <t>고운동리치세종</t>
        </is>
      </c>
      <c r="P2563" s="4" t="n">
        <v>1</v>
      </c>
      <c r="Q2563" s="4" t="n">
        <v>3319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평기리 204-2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93000</v>
      </c>
      <c r="G2564" s="4" t="n">
        <v>3015</v>
      </c>
      <c r="H2564" s="4" t="n">
        <v>912</v>
      </c>
      <c r="I2564" s="5" t="n">
        <v>102</v>
      </c>
      <c r="J2564" s="5" t="n">
        <v>38.8</v>
      </c>
      <c r="K2564" s="3" t="inlineStr">
        <is>
          <t>투자용추천,지목 답</t>
        </is>
      </c>
      <c r="L2564" s="6">
        <f>HYPERLINK("https://fin.land.naver.com/articles/2654533289", "매물Link")</f>
        <v/>
      </c>
      <c r="M2564" s="6">
        <f>HYPERLINK("https://map.naver.com/p/search/장군면 평기리 204-2", "지도Link")</f>
        <v/>
      </c>
      <c r="N2564" s="6">
        <f>HYPERLINK("http://www.eum.go.kr/web/ar/lu/luLandDet.jsp?pnu=3611035022102040002&amp;isNoScr=script&amp;mode=search", "토지이음")</f>
        <v/>
      </c>
      <c r="O2564" s="3" t="inlineStr">
        <is>
          <t>다산</t>
        </is>
      </c>
      <c r="P2564" s="4" t="n">
        <v>1</v>
      </c>
      <c r="Q2564" s="4" t="n">
        <v>3015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평기리 214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30000</v>
      </c>
      <c r="G2565" s="4" t="n">
        <v>219</v>
      </c>
      <c r="H2565" s="4" t="n">
        <v>66</v>
      </c>
      <c r="I2565" s="5" t="n">
        <v>454.5</v>
      </c>
      <c r="J2565" s="5" t="n">
        <v>105.8</v>
      </c>
      <c r="K2565" s="3" t="inlineStr">
        <is>
          <t>장군면 평기리 2차선변 계획관리 토지, 신도시 인근, 장군면소재지, 건축</t>
        </is>
      </c>
      <c r="L2565" s="6">
        <f>HYPERLINK("https://fin.land.naver.com/articles/2654029661", "매물Link")</f>
        <v/>
      </c>
      <c r="M2565" s="6">
        <f>HYPERLINK("https://map.naver.com/p/search/장군면 평기리 214", "지도Link")</f>
        <v/>
      </c>
      <c r="N2565" s="6">
        <f>HYPERLINK("http://www.eum.go.kr/web/ar/lu/luLandDet.jsp?pnu=3611035022102140000&amp;isNoScr=script&amp;mode=search", "토지이음")</f>
        <v/>
      </c>
      <c r="O2565" s="3" t="inlineStr">
        <is>
          <t>스카이</t>
        </is>
      </c>
      <c r="P2565" s="4" t="n">
        <v>1</v>
      </c>
      <c r="Q2565" s="4" t="n">
        <v>219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평기리 214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전</t>
        </is>
      </c>
      <c r="E2566" s="3" t="inlineStr">
        <is>
          <t>매매</t>
        </is>
      </c>
      <c r="F2566" s="4" t="n">
        <v>33000</v>
      </c>
      <c r="G2566" s="4" t="n">
        <v>219</v>
      </c>
      <c r="H2566" s="4" t="n">
        <v>66</v>
      </c>
      <c r="I2566" s="5" t="n">
        <v>500</v>
      </c>
      <c r="J2566" s="5" t="n">
        <v>105.8</v>
      </c>
      <c r="K2566" s="3" t="inlineStr">
        <is>
          <t>2차선도로접,세종시근접,단독주택부지,근생부지로 추천</t>
        </is>
      </c>
      <c r="L2566" s="6">
        <f>HYPERLINK("https://fin.land.naver.com/articles/2651053830", "매물Link")</f>
        <v/>
      </c>
      <c r="M2566" s="6">
        <f>HYPERLINK("https://map.naver.com/p/search/장군면 평기리 214", "지도Link")</f>
        <v/>
      </c>
      <c r="N2566" s="6">
        <f>HYPERLINK("http://www.eum.go.kr/web/ar/lu/luLandDet.jsp?pnu=3611035022102140000&amp;isNoScr=script&amp;mode=search", "토지이음")</f>
        <v/>
      </c>
      <c r="O2566" s="3" t="inlineStr">
        <is>
          <t>담뜰</t>
        </is>
      </c>
      <c r="P2566" s="4" t="n">
        <v>1</v>
      </c>
      <c r="Q2566" s="4" t="n">
        <v>219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평기리 214-1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전</t>
        </is>
      </c>
      <c r="E2567" s="3" t="inlineStr">
        <is>
          <t>매매</t>
        </is>
      </c>
      <c r="F2567" s="4" t="n">
        <v>320000</v>
      </c>
      <c r="G2567" s="4" t="n">
        <v>2358</v>
      </c>
      <c r="H2567" s="4" t="n">
        <v>713</v>
      </c>
      <c r="I2567" s="5" t="n">
        <v>448.8</v>
      </c>
      <c r="J2567" s="5" t="n">
        <v>107.9</v>
      </c>
      <c r="K2567" s="3" t="inlineStr">
        <is>
          <t>장군면 평기리 2차선변 계획관리 토지, 신도시 인근, 장군면소재지, 건축</t>
        </is>
      </c>
      <c r="L2567" s="6">
        <f>HYPERLINK("https://fin.land.naver.com/articles/2654029786", "매물Link")</f>
        <v/>
      </c>
      <c r="M2567" s="6">
        <f>HYPERLINK("https://map.naver.com/p/search/장군면 평기리 214-1", "지도Link")</f>
        <v/>
      </c>
      <c r="N2567" s="6">
        <f>HYPERLINK("http://www.eum.go.kr/web/ar/lu/luLandDet.jsp?pnu=3611035022102140001&amp;isNoScr=script&amp;mode=search", "토지이음")</f>
        <v/>
      </c>
      <c r="O2567" s="3" t="inlineStr">
        <is>
          <t>스카이</t>
        </is>
      </c>
      <c r="P2567" s="4" t="n">
        <v>1</v>
      </c>
      <c r="Q2567" s="4" t="n">
        <v>662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소로각지</t>
        </is>
      </c>
    </row>
    <row r="2568">
      <c r="A2568" s="3" t="inlineStr">
        <is>
          <t>장군면 평기리 217-4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23100</v>
      </c>
      <c r="G2568" s="4" t="n">
        <v>510</v>
      </c>
      <c r="H2568" s="4" t="n">
        <v>154</v>
      </c>
      <c r="I2568" s="5" t="n">
        <v>150</v>
      </c>
      <c r="J2568" s="5" t="n">
        <v>108.7</v>
      </c>
      <c r="K2568" s="3" t="inlineStr">
        <is>
          <t>장군면 저렴한 주택 대지</t>
        </is>
      </c>
      <c r="L2568" s="6">
        <f>HYPERLINK("https://fin.land.naver.com/articles/2651908117", "매물Link")</f>
        <v/>
      </c>
      <c r="M2568" s="6">
        <f>HYPERLINK("https://map.naver.com/p/search/장군면 평기리 217-4", "지도Link")</f>
        <v/>
      </c>
      <c r="N2568" s="6">
        <f>HYPERLINK("http://www.eum.go.kr/web/ar/lu/luLandDet.jsp?pnu=3611035022102170004&amp;isNoScr=script&amp;mode=search", "토지이음")</f>
        <v/>
      </c>
      <c r="O2568" s="3" t="inlineStr">
        <is>
          <t>강아지풀</t>
        </is>
      </c>
      <c r="P2568" s="4" t="n">
        <v>1</v>
      </c>
      <c r="Q2568" s="4" t="n">
        <v>510</v>
      </c>
      <c r="R2568" s="3" t="inlineStr">
        <is>
          <t>지정되지않음</t>
        </is>
      </c>
      <c r="S2568" s="3" t="inlineStr">
        <is>
          <t>단독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평기리 219-1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50000</v>
      </c>
      <c r="G2569" s="4" t="n">
        <v>824</v>
      </c>
      <c r="H2569" s="4" t="n">
        <v>249</v>
      </c>
      <c r="I2569" s="5" t="n">
        <v>200.8</v>
      </c>
      <c r="J2569" s="5" t="n">
        <v>67.5</v>
      </c>
      <c r="K2569" s="3" t="inlineStr">
        <is>
          <t>계획관리지역, 마을도로 접, 평기길에서 350m, 신도시 차량 10분</t>
        </is>
      </c>
      <c r="L2569" s="6">
        <f>HYPERLINK("https://fin.land.naver.com/articles/2651032302", "매물Link")</f>
        <v/>
      </c>
      <c r="M2569" s="6">
        <f>HYPERLINK("https://map.naver.com/p/search/장군면 평기리 219-1", "지도Link")</f>
        <v/>
      </c>
      <c r="N2569" s="6">
        <f>HYPERLINK("http://www.eum.go.kr/web/ar/lu/luLandDet.jsp?pnu=3611035022102190001&amp;isNoScr=script&amp;mode=search", "토지이음")</f>
        <v/>
      </c>
      <c r="O2569" s="3" t="inlineStr">
        <is>
          <t>온뜰</t>
        </is>
      </c>
      <c r="P2569" s="4" t="n">
        <v>1</v>
      </c>
      <c r="Q2569" s="4" t="n">
        <v>824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평기리 22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월세</t>
        </is>
      </c>
      <c r="F2570" s="4" t="n">
        <v>3000</v>
      </c>
      <c r="G2570" s="4" t="n">
        <v>687</v>
      </c>
      <c r="H2570" s="4" t="n">
        <v>208</v>
      </c>
      <c r="I2570" s="5" t="n">
        <v>0.5</v>
      </c>
      <c r="J2570" s="5" t="n">
        <v>82</v>
      </c>
      <c r="K2570" s="3" t="inlineStr">
        <is>
          <t>2차선변 진출입 용이, 하천부지 추가사용가능</t>
        </is>
      </c>
      <c r="L2570" s="6">
        <f>HYPERLINK("https://fin.land.naver.com/articles/2652408710", "매물Link")</f>
        <v/>
      </c>
      <c r="M2570" s="6">
        <f>HYPERLINK("https://map.naver.com/p/search/장군면 평기리 22", "지도Link")</f>
        <v/>
      </c>
      <c r="N2570" s="6">
        <f>HYPERLINK("http://www.eum.go.kr/web/ar/lu/luLandDet.jsp?pnu=3611035022100220000&amp;isNoScr=script&amp;mode=search", "토지이음")</f>
        <v/>
      </c>
      <c r="O2570" s="3" t="inlineStr">
        <is>
          <t>세종공주제일</t>
        </is>
      </c>
      <c r="P2570" s="4" t="n">
        <v>1</v>
      </c>
      <c r="Q2570" s="4" t="n">
        <v>608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72500</v>
      </c>
      <c r="G2571" s="4" t="n">
        <v>687</v>
      </c>
      <c r="H2571" s="4" t="n">
        <v>208</v>
      </c>
      <c r="I2571" s="5" t="n">
        <v>348.6</v>
      </c>
      <c r="J2571" s="5" t="n">
        <v>82</v>
      </c>
      <c r="K2571" s="3" t="inlineStr">
        <is>
          <t>2차선변 진출입 용이,성장계획구역</t>
        </is>
      </c>
      <c r="L2571" s="6">
        <f>HYPERLINK("https://fin.land.naver.com/articles/2652408343", "매물Link")</f>
        <v/>
      </c>
      <c r="M2571" s="6">
        <f>HYPERLINK("https://map.naver.com/p/search/장군면 평기리 22", "지도Link")</f>
        <v/>
      </c>
      <c r="N2571" s="6">
        <f>HYPERLINK("http://www.eum.go.kr/web/ar/lu/luLandDet.jsp?pnu=3611035022100220000&amp;isNoScr=script&amp;mode=search", "토지이음")</f>
        <v/>
      </c>
      <c r="O2571" s="3" t="inlineStr">
        <is>
          <t>세종공주제일</t>
        </is>
      </c>
      <c r="P2571" s="4" t="n">
        <v>1</v>
      </c>
      <c r="Q2571" s="4" t="n">
        <v>608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220-3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42000</v>
      </c>
      <c r="G2572" s="4" t="n">
        <v>2020</v>
      </c>
      <c r="H2572" s="4" t="n">
        <v>611</v>
      </c>
      <c r="I2572" s="5" t="n">
        <v>68.7</v>
      </c>
      <c r="J2572" s="5" t="n">
        <v>56.8</v>
      </c>
      <c r="K2572" s="3" t="inlineStr">
        <is>
          <t>지적도상 구거에 접해있어 도로 개설 등 활용성 있는 계획관리 저렴 토지</t>
        </is>
      </c>
      <c r="L2572" s="6">
        <f>HYPERLINK("https://fin.land.naver.com/articles/2653568897", "매물Link")</f>
        <v/>
      </c>
      <c r="M2572" s="6">
        <f>HYPERLINK("https://map.naver.com/p/search/장군면 평기리 220-3", "지도Link")</f>
        <v/>
      </c>
      <c r="N2572" s="6">
        <f>HYPERLINK("http://www.eum.go.kr/web/ar/lu/luLandDet.jsp?pnu=3611035022102200003&amp;isNoScr=script&amp;mode=search", "토지이음")</f>
        <v/>
      </c>
      <c r="O2572" s="3" t="inlineStr">
        <is>
          <t>온뜰</t>
        </is>
      </c>
      <c r="P2572" s="4" t="n">
        <v>1</v>
      </c>
      <c r="Q2572" s="4" t="n">
        <v>2020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장군면 평기리 220-7</t>
        </is>
      </c>
      <c r="B2573" s="3" t="inlineStr">
        <is>
          <t>계획관리지역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769000</v>
      </c>
      <c r="G2573" s="4" t="n">
        <v>10171</v>
      </c>
      <c r="H2573" s="4" t="n">
        <v>3077</v>
      </c>
      <c r="I2573" s="5" t="n">
        <v>249.9</v>
      </c>
      <c r="J2573" s="5" t="n">
        <v>71.7</v>
      </c>
      <c r="K2573" s="3" t="inlineStr">
        <is>
          <t>도로접 계획관리지역 조망권뷰 최상 다목적용도 가능,투자용 추천</t>
        </is>
      </c>
      <c r="L2573" s="6">
        <f>HYPERLINK("https://fin.land.naver.com/articles/2653220707", "매물Link")</f>
        <v/>
      </c>
      <c r="M2573" s="6">
        <f>HYPERLINK("https://map.naver.com/p/search/장군면 평기리 220-7", "지도Link")</f>
        <v/>
      </c>
      <c r="N2573" s="6">
        <f>HYPERLINK("http://www.eum.go.kr/web/ar/lu/luLandDet.jsp?pnu=3611035022102200007&amp;isNoScr=script&amp;mode=search", "토지이음")</f>
        <v/>
      </c>
      <c r="O2573" s="3" t="inlineStr">
        <is>
          <t>고운맘</t>
        </is>
      </c>
      <c r="P2573" s="4" t="n">
        <v>1</v>
      </c>
      <c r="Q2573" s="4" t="n">
        <v>10171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227-2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116300</v>
      </c>
      <c r="G2574" s="4" t="n">
        <v>2255</v>
      </c>
      <c r="H2574" s="4" t="n">
        <v>682</v>
      </c>
      <c r="I2574" s="5" t="n">
        <v>170.5</v>
      </c>
      <c r="J2574" s="5" t="n">
        <v>62</v>
      </c>
      <c r="K2574" s="3" t="inlineStr">
        <is>
          <t>장군면 귀한 계획관리 토지</t>
        </is>
      </c>
      <c r="L2574" s="6">
        <f>HYPERLINK("https://fin.land.naver.com/articles/2652261452", "매물Link")</f>
        <v/>
      </c>
      <c r="M2574" s="6">
        <f>HYPERLINK("https://map.naver.com/p/search/장군면 평기리 227-2", "지도Link")</f>
        <v/>
      </c>
      <c r="N2574" s="6">
        <f>HYPERLINK("http://www.eum.go.kr/web/ar/lu/luLandDet.jsp?pnu=3611035022102270002&amp;isNoScr=script&amp;mode=search", "토지이음")</f>
        <v/>
      </c>
      <c r="O2574" s="3" t="inlineStr">
        <is>
          <t>새땅</t>
        </is>
      </c>
      <c r="P2574" s="4" t="n">
        <v>1</v>
      </c>
      <c r="Q2574" s="4" t="n">
        <v>2255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288-36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35000</v>
      </c>
      <c r="G2575" s="4" t="n">
        <v>423</v>
      </c>
      <c r="H2575" s="4" t="n">
        <v>128</v>
      </c>
      <c r="I2575" s="5" t="n">
        <v>273.4</v>
      </c>
      <c r="J2575" s="5" t="n">
        <v>128.2</v>
      </c>
      <c r="K2575" s="3" t="inlineStr">
        <is>
          <t>세종 장군면 평기리 단독주택 부지로 검토할 임야</t>
        </is>
      </c>
      <c r="L2575" s="6">
        <f>HYPERLINK("https://fin.land.naver.com/articles/2655682229", "매물Link")</f>
        <v/>
      </c>
      <c r="M2575" s="6">
        <f>HYPERLINK("https://map.naver.com/p/search/장군면 평기리 288-36", "지도Link")</f>
        <v/>
      </c>
      <c r="N2575" s="6">
        <f>HYPERLINK("http://www.eum.go.kr/web/ar/lu/luLandDet.jsp?pnu=3611035022102880036&amp;isNoScr=script&amp;mode=search", "토지이음")</f>
        <v/>
      </c>
      <c r="O2575" s="3" t="inlineStr">
        <is>
          <t>세종몽땅</t>
        </is>
      </c>
      <c r="P2575" s="4" t="n">
        <v>1</v>
      </c>
      <c r="Q2575" s="4" t="n">
        <v>423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완경사</t>
        </is>
      </c>
      <c r="U2575" s="3" t="inlineStr">
        <is>
          <t>정방형</t>
        </is>
      </c>
      <c r="V2575" s="3" t="inlineStr">
        <is>
          <t>세로한면(가)</t>
        </is>
      </c>
    </row>
    <row r="2576">
      <c r="A2576" s="3" t="inlineStr">
        <is>
          <t>장군면 평기리 288-39</t>
        </is>
      </c>
      <c r="B2576" s="3" t="inlineStr">
        <is>
          <t>보전관리지역</t>
        </is>
      </c>
      <c r="C2576" s="3" t="inlineStr">
        <is>
          <t>임야</t>
        </is>
      </c>
      <c r="D2576" s="3" t="inlineStr">
        <is>
          <t>임야</t>
        </is>
      </c>
      <c r="E2576" s="3" t="inlineStr">
        <is>
          <t>매매</t>
        </is>
      </c>
      <c r="F2576" s="4" t="n">
        <v>48000</v>
      </c>
      <c r="G2576" s="4" t="n">
        <v>513</v>
      </c>
      <c r="H2576" s="4" t="n">
        <v>155</v>
      </c>
      <c r="I2576" s="5" t="n">
        <v>309.7</v>
      </c>
      <c r="J2576" s="5" t="n">
        <v>128.2</v>
      </c>
      <c r="K2576" s="3" t="inlineStr">
        <is>
          <t>장군면 평기리 잘조성된 전원주택지</t>
        </is>
      </c>
      <c r="L2576" s="6">
        <f>HYPERLINK("https://fin.land.naver.com/articles/2651782102", "매물Link")</f>
        <v/>
      </c>
      <c r="M2576" s="6">
        <f>HYPERLINK("https://map.naver.com/p/search/장군면 평기리 288-39", "지도Link")</f>
        <v/>
      </c>
      <c r="N2576" s="6">
        <f>HYPERLINK("http://www.eum.go.kr/web/ar/lu/luLandDet.jsp?pnu=3611035022102880039&amp;isNoScr=script&amp;mode=search", "토지이음")</f>
        <v/>
      </c>
      <c r="O2576" s="3" t="inlineStr">
        <is>
          <t>세종천지</t>
        </is>
      </c>
      <c r="P2576" s="4" t="n">
        <v>1</v>
      </c>
      <c r="Q2576" s="4" t="n">
        <v>513</v>
      </c>
      <c r="R2576" s="3" t="inlineStr">
        <is>
          <t>지정되지않음</t>
        </is>
      </c>
      <c r="S2576" s="3" t="inlineStr">
        <is>
          <t>주거나지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장군면 평기리 288-57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33000</v>
      </c>
      <c r="G2577" s="4" t="n">
        <v>485</v>
      </c>
      <c r="H2577" s="4" t="n">
        <v>147</v>
      </c>
      <c r="I2577" s="5" t="n">
        <v>224.5</v>
      </c>
      <c r="J2577" s="5" t="n">
        <v>128.2</v>
      </c>
      <c r="K2577" s="3" t="inlineStr">
        <is>
          <t>세종시행복도시 고운동에서 10분거리 위치 좋고, 뷰 좋아요.</t>
        </is>
      </c>
      <c r="L2577" s="6">
        <f>HYPERLINK("https://fin.land.naver.com/articles/2655815477", "매물Link")</f>
        <v/>
      </c>
      <c r="M2577" s="6">
        <f>HYPERLINK("https://map.naver.com/p/search/장군면 평기리 288-57", "지도Link")</f>
        <v/>
      </c>
      <c r="N2577" s="6">
        <f>HYPERLINK("http://www.eum.go.kr/web/ar/lu/luLandDet.jsp?pnu=3611035022102880057&amp;isNoScr=script&amp;mode=search", "토지이음")</f>
        <v/>
      </c>
      <c r="O2577" s="3" t="inlineStr">
        <is>
          <t>세종올리브</t>
        </is>
      </c>
      <c r="P2577" s="4" t="n">
        <v>1</v>
      </c>
      <c r="Q2577" s="4" t="n">
        <v>485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평기리 303-1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2016</v>
      </c>
      <c r="H2578" s="4" t="n">
        <v>610</v>
      </c>
      <c r="I2578" s="5" t="n">
        <v>114.8</v>
      </c>
      <c r="J2578" s="5" t="n">
        <v>38</v>
      </c>
      <c r="K2578" s="3" t="inlineStr">
        <is>
          <t>투자용, 대토용, 가격조정가능</t>
        </is>
      </c>
      <c r="L2578" s="6">
        <f>HYPERLINK("https://fin.land.naver.com/articles/2654625682", "매물Link")</f>
        <v/>
      </c>
      <c r="M2578" s="6">
        <f>HYPERLINK("https://map.naver.com/p/search/장군면 평기리 303-1", "지도Link")</f>
        <v/>
      </c>
      <c r="N2578" s="6">
        <f>HYPERLINK("http://www.eum.go.kr/web/ar/lu/luLandDet.jsp?pnu=3611035022103030001&amp;isNoScr=script&amp;mode=search", "토지이음")</f>
        <v/>
      </c>
      <c r="O2578" s="3" t="inlineStr">
        <is>
          <t>고운동리치세종</t>
        </is>
      </c>
      <c r="P2578" s="4" t="n">
        <v>1</v>
      </c>
      <c r="Q2578" s="4" t="n">
        <v>2016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평기리 353-62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86800</v>
      </c>
      <c r="G2579" s="4" t="n">
        <v>820</v>
      </c>
      <c r="H2579" s="4" t="n">
        <v>248</v>
      </c>
      <c r="I2579" s="5" t="n">
        <v>350</v>
      </c>
      <c r="J2579" s="5" t="n">
        <v>84.40000000000001</v>
      </c>
      <c r="K2579" s="3" t="inlineStr">
        <is>
          <t>2차선 도로 옆 계획관리지역</t>
        </is>
      </c>
      <c r="L2579" s="6">
        <f>HYPERLINK("https://fin.land.naver.com/articles/2652793865", "매물Link")</f>
        <v/>
      </c>
      <c r="M2579" s="6">
        <f>HYPERLINK("https://map.naver.com/p/search/장군면 평기리 353-62", "지도Link")</f>
        <v/>
      </c>
      <c r="N2579" s="6">
        <f>HYPERLINK("http://www.eum.go.kr/web/ar/lu/luLandDet.jsp?pnu=3611035022103530062&amp;isNoScr=script&amp;mode=search", "토지이음")</f>
        <v/>
      </c>
      <c r="O2579" s="3" t="inlineStr">
        <is>
          <t>강아지풀</t>
        </is>
      </c>
      <c r="P2579" s="4" t="n">
        <v>1</v>
      </c>
      <c r="Q2579" s="4" t="n">
        <v>820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사다리형</t>
        </is>
      </c>
      <c r="V2579" s="3" t="inlineStr">
        <is>
          <t>소로한면</t>
        </is>
      </c>
    </row>
    <row r="2580">
      <c r="A2580" s="3" t="inlineStr">
        <is>
          <t>장군면 평기리 353-65</t>
        </is>
      </c>
      <c r="B2580" s="3" t="inlineStr">
        <is>
          <t>계획관리지역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61500</v>
      </c>
      <c r="G2580" s="4" t="n">
        <v>813</v>
      </c>
      <c r="H2580" s="4" t="n">
        <v>246</v>
      </c>
      <c r="I2580" s="5" t="n">
        <v>250</v>
      </c>
      <c r="J2580" s="5" t="n">
        <v>80.40000000000001</v>
      </c>
      <c r="K2580" s="3" t="inlineStr">
        <is>
          <t>세종IC 인근 평기리 2차선변 저렴한 계획관리 토지 매매</t>
        </is>
      </c>
      <c r="L2580" s="6">
        <f>HYPERLINK("https://fin.land.naver.com/articles/2653813161", "매물Link")</f>
        <v/>
      </c>
      <c r="M2580" s="6">
        <f>HYPERLINK("https://map.naver.com/p/search/장군면 평기리 353-65", "지도Link")</f>
        <v/>
      </c>
      <c r="N2580" s="6">
        <f>HYPERLINK("http://www.eum.go.kr/web/ar/lu/luLandDet.jsp?pnu=3611035022103530065&amp;isNoScr=script&amp;mode=search", "토지이음")</f>
        <v/>
      </c>
      <c r="O2580" s="3" t="inlineStr">
        <is>
          <t>뉴스카이</t>
        </is>
      </c>
      <c r="P2580" s="4" t="n">
        <v>1</v>
      </c>
      <c r="Q2580" s="4" t="n">
        <v>813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소로한면</t>
        </is>
      </c>
    </row>
    <row r="2581">
      <c r="A2581" s="3" t="inlineStr">
        <is>
          <t>장군면 평기리 39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72000</v>
      </c>
      <c r="G2581" s="4" t="n">
        <v>1320</v>
      </c>
      <c r="H2581" s="4" t="n">
        <v>399</v>
      </c>
      <c r="I2581" s="5" t="n">
        <v>180.5</v>
      </c>
      <c r="J2581" s="5" t="n">
        <v>73.59999999999999</v>
      </c>
      <c r="K2581" s="3" t="inlineStr">
        <is>
          <t>과수원과 대지 2필지입니다. 전원주택, 세컨하우스로 좋습니다</t>
        </is>
      </c>
      <c r="L2581" s="6">
        <f>HYPERLINK("https://fin.land.naver.com/articles/2652101499", "매물Link")</f>
        <v/>
      </c>
      <c r="M2581" s="6">
        <f>HYPERLINK("https://map.naver.com/p/search/장군면 평기리 39", "지도Link")</f>
        <v/>
      </c>
      <c r="N2581" s="6">
        <f>HYPERLINK("http://www.eum.go.kr/web/ar/lu/luLandDet.jsp?pnu=3611035022100390000&amp;isNoScr=script&amp;mode=search",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610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세로한면(불)</t>
        </is>
      </c>
    </row>
    <row r="2582">
      <c r="A2582" s="3" t="inlineStr">
        <is>
          <t>장군면 평기리 39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72000</v>
      </c>
      <c r="G2582" s="4" t="n">
        <v>1320</v>
      </c>
      <c r="H2582" s="4" t="n">
        <v>399</v>
      </c>
      <c r="I2582" s="5" t="n">
        <v>180.5</v>
      </c>
      <c r="J2582" s="5" t="n">
        <v>73.59999999999999</v>
      </c>
      <c r="K2582" s="3" t="inlineStr">
        <is>
          <t>평기리에 위치한 전원주택 건축가능한 부지</t>
        </is>
      </c>
      <c r="L2582" s="6">
        <f>HYPERLINK("https://fin.land.naver.com/articles/2656402618", "매물Link")</f>
        <v/>
      </c>
      <c r="M2582" s="6">
        <f>HYPERLINK("https://map.naver.com/p/search/장군면 평기리 39", "지도Link")</f>
        <v/>
      </c>
      <c r="N2582" s="6">
        <f>HYPERLINK("http://www.eum.go.kr/web/ar/lu/luLandDet.jsp?pnu=3611035022100390000&amp;isNoScr=script&amp;mode=search", "토지이음")</f>
        <v/>
      </c>
      <c r="O2582" s="3" t="inlineStr">
        <is>
          <t>리슈빌대주</t>
        </is>
      </c>
      <c r="P2582" s="4" t="n">
        <v>1</v>
      </c>
      <c r="Q2582" s="4" t="n">
        <v>610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세로한면(불)</t>
        </is>
      </c>
    </row>
    <row r="2583">
      <c r="A2583" s="3" t="inlineStr">
        <is>
          <t>장군면 평기리 39-6</t>
        </is>
      </c>
      <c r="B2583" s="3" t="inlineStr">
        <is>
          <t>계획관리지역</t>
        </is>
      </c>
      <c r="C2583" s="3" t="inlineStr">
        <is>
          <t>과수원</t>
        </is>
      </c>
      <c r="D2583" s="3" t="inlineStr">
        <is>
          <t>과수원</t>
        </is>
      </c>
      <c r="E2583" s="3" t="inlineStr">
        <is>
          <t>매매</t>
        </is>
      </c>
      <c r="F2583" s="4" t="n">
        <v>36000</v>
      </c>
      <c r="G2583" s="4" t="n">
        <v>710</v>
      </c>
      <c r="H2583" s="4" t="n">
        <v>215</v>
      </c>
      <c r="I2583" s="5" t="n">
        <v>167.4</v>
      </c>
      <c r="J2583" s="5" t="n">
        <v>52.9</v>
      </c>
      <c r="K2583" s="3" t="inlineStr">
        <is>
          <t>nan</t>
        </is>
      </c>
      <c r="L2583" s="6">
        <f>HYPERLINK("https://fin.land.naver.com/articles/2653858376", "매물Link")</f>
        <v/>
      </c>
      <c r="M2583" s="6">
        <f>HYPERLINK("https://map.naver.com/p/search/장군면 평기리 39-6", "지도Link")</f>
        <v/>
      </c>
      <c r="N2583" s="6">
        <f>HYPERLINK("http://www.eum.go.kr/web/ar/lu/luLandDet.jsp?pnu=3611035022100390006&amp;isNoScr=script&amp;mode=search", "토지이음")</f>
        <v/>
      </c>
      <c r="O2583" s="3" t="inlineStr">
        <is>
          <t>돈방석</t>
        </is>
      </c>
      <c r="P2583" s="4" t="n">
        <v>1</v>
      </c>
      <c r="Q2583" s="4" t="n">
        <v>710</v>
      </c>
      <c r="R2583" s="3" t="inlineStr">
        <is>
          <t>지정되지않음</t>
        </is>
      </c>
      <c r="S2583" s="3" t="inlineStr">
        <is>
          <t>과수원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세로한면(불)</t>
        </is>
      </c>
    </row>
    <row r="2584">
      <c r="A2584" s="3" t="inlineStr">
        <is>
          <t>장군면 평기리 산35</t>
        </is>
      </c>
      <c r="B2584" s="3" t="inlineStr">
        <is>
          <t>보전관리지역</t>
        </is>
      </c>
      <c r="C2584" s="3" t="inlineStr">
        <is>
          <t>임야</t>
        </is>
      </c>
      <c r="D2584" s="3" t="inlineStr">
        <is>
          <t>임야</t>
        </is>
      </c>
      <c r="E2584" s="3" t="inlineStr">
        <is>
          <t>매매</t>
        </is>
      </c>
      <c r="F2584" s="4" t="n">
        <v>234000</v>
      </c>
      <c r="G2584" s="4" t="n">
        <v>5157</v>
      </c>
      <c r="H2584" s="4" t="n">
        <v>1560</v>
      </c>
      <c r="I2584" s="5" t="n">
        <v>150</v>
      </c>
      <c r="J2584" s="5" t="n">
        <v>17.1</v>
      </c>
      <c r="K2584" s="3" t="inlineStr">
        <is>
          <t>세종시인근 전원주택지</t>
        </is>
      </c>
      <c r="L2584" s="6">
        <f>HYPERLINK("https://fin.land.naver.com/articles/2654278760", "매물Link")</f>
        <v/>
      </c>
      <c r="M2584" s="6">
        <f>HYPERLINK("https://map.naver.com/p/search/장군면 평기리 산35", "지도Link")</f>
        <v/>
      </c>
      <c r="N2584" s="6">
        <f>HYPERLINK("http://www.eum.go.kr/web/ar/lu/luLandDet.jsp?pnu=3611035022200350000&amp;isNoScr=script&amp;mode=search", "토지이음")</f>
        <v/>
      </c>
      <c r="O2584" s="3" t="inlineStr">
        <is>
          <t>그린</t>
        </is>
      </c>
      <c r="P2584" s="4" t="n">
        <v>1</v>
      </c>
      <c r="Q2584" s="4" t="n">
        <v>5157</v>
      </c>
      <c r="R2584" s="3" t="inlineStr">
        <is>
          <t>지정되지않음</t>
        </is>
      </c>
      <c r="S2584" s="3" t="inlineStr">
        <is>
          <t>자연림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세로한면(불)</t>
        </is>
      </c>
    </row>
    <row r="2585">
      <c r="A2585" s="3" t="inlineStr">
        <is>
          <t>장군면 평기리 산42-91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70000</v>
      </c>
      <c r="G2585" s="4" t="n">
        <v>3306</v>
      </c>
      <c r="H2585" s="4" t="n">
        <v>1000</v>
      </c>
      <c r="I2585" s="5" t="n">
        <v>70</v>
      </c>
      <c r="J2585" s="5" t="n">
        <v>17.3</v>
      </c>
      <c r="K2585" s="3" t="inlineStr">
        <is>
          <t>장군면 평기리 임야 1000p  매매</t>
        </is>
      </c>
      <c r="L2585" s="6">
        <f>HYPERLINK("https://fin.land.naver.com/articles/2655141216", "매물Link")</f>
        <v/>
      </c>
      <c r="M2585" s="6">
        <f>HYPERLINK("https://map.naver.com/p/search/장군면 평기리 산42-91", "지도Link")</f>
        <v/>
      </c>
      <c r="N2585" s="6">
        <f>HYPERLINK("http://www.eum.go.kr/web/ar/lu/luLandDet.jsp?pnu=3611035022200420091&amp;isNoScr=script&amp;mode=search", "토지이음")</f>
        <v/>
      </c>
      <c r="O2585" s="3" t="inlineStr">
        <is>
          <t>명학아너비즈</t>
        </is>
      </c>
      <c r="P2585" s="4" t="n">
        <v>1</v>
      </c>
      <c r="Q2585" s="4" t="n">
        <v>3306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세로한면(불)</t>
        </is>
      </c>
    </row>
    <row r="2586">
      <c r="A2586" s="3" t="inlineStr">
        <is>
          <t>장군면 하봉리 115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23500</v>
      </c>
      <c r="G2586" s="4" t="n">
        <v>389</v>
      </c>
      <c r="H2586" s="4" t="n">
        <v>118</v>
      </c>
      <c r="I2586" s="5" t="n">
        <v>199.2</v>
      </c>
      <c r="J2586" s="5" t="n">
        <v>74.09999999999999</v>
      </c>
      <c r="K2586" s="3" t="inlineStr">
        <is>
          <t>근린생활시설 건축허가 득한 계획관리지역의 전을 급매합니다</t>
        </is>
      </c>
      <c r="L2586" s="6">
        <f>HYPERLINK("https://fin.land.naver.com/articles/2656250640", "매물Link")</f>
        <v/>
      </c>
      <c r="M2586" s="6">
        <f>HYPERLINK("https://map.naver.com/p/search/장군면 하봉리 115", "지도Link")</f>
        <v/>
      </c>
      <c r="N2586" s="6">
        <f>HYPERLINK("http://www.eum.go.kr/web/ar/lu/luLandDet.jsp?pnu=3611035026101150000&amp;isNoScr=script&amp;mode=search", "토지이음")</f>
        <v/>
      </c>
      <c r="O2586" s="3" t="inlineStr">
        <is>
          <t>스마일세종</t>
        </is>
      </c>
      <c r="P2586" s="4" t="n">
        <v>1</v>
      </c>
      <c r="Q2586" s="4" t="n">
        <v>389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하봉리 118-12</t>
        </is>
      </c>
      <c r="B2587" s="3" t="inlineStr">
        <is>
          <t>계획관리지역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220000</v>
      </c>
      <c r="G2587" s="4" t="n">
        <v>4166</v>
      </c>
      <c r="H2587" s="4" t="n">
        <v>1260</v>
      </c>
      <c r="I2587" s="5" t="n">
        <v>174.6</v>
      </c>
      <c r="J2587" s="5" t="n">
        <v>24.2</v>
      </c>
      <c r="K2587" s="3" t="inlineStr">
        <is>
          <t>장군면 하봉리 마을안길에 접한 경사도 완만한 계획관리지역의 토임 입니다</t>
        </is>
      </c>
      <c r="L2587" s="6">
        <f>HYPERLINK("https://fin.land.naver.com/articles/2650955499", "매물Link")</f>
        <v/>
      </c>
      <c r="M2587" s="6">
        <f>HYPERLINK("https://map.naver.com/p/search/장군면 하봉리 118-12", "지도Link")</f>
        <v/>
      </c>
      <c r="N2587" s="6">
        <f>HYPERLINK("http://www.eum.go.kr/web/ar/lu/luLandDet.jsp?pnu=3611035026101180012&amp;isNoScr=script&amp;mode=search", "토지이음")</f>
        <v/>
      </c>
      <c r="O2587" s="3" t="inlineStr">
        <is>
          <t>스마일세종</t>
        </is>
      </c>
      <c r="P2587" s="4" t="n">
        <v>1</v>
      </c>
      <c r="Q2587" s="4" t="n">
        <v>4166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하봉리 121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114000</v>
      </c>
      <c r="G2588" s="4" t="n">
        <v>4709</v>
      </c>
      <c r="H2588" s="4" t="n">
        <v>1424</v>
      </c>
      <c r="I2588" s="5" t="n">
        <v>80.09999999999999</v>
      </c>
      <c r="J2588" s="5" t="n">
        <v>50</v>
      </c>
      <c r="K2588" s="3" t="inlineStr">
        <is>
          <t>장군면 하봉리 계획관리지역</t>
        </is>
      </c>
      <c r="L2588" s="6">
        <f>HYPERLINK("https://fin.land.naver.com/articles/2654009126", "매물Link")</f>
        <v/>
      </c>
      <c r="M2588" s="6">
        <f>HYPERLINK("https://map.naver.com/p/search/장군면 하봉리 121", "지도Link")</f>
        <v/>
      </c>
      <c r="N2588" s="6">
        <f>HYPERLINK("http://www.eum.go.kr/web/ar/lu/luLandDet.jsp?pnu=3611035026101210000&amp;isNoScr=script&amp;mode=search", "토지이음")</f>
        <v/>
      </c>
      <c r="O2588" s="3" t="inlineStr">
        <is>
          <t>KB세종</t>
        </is>
      </c>
      <c r="P2588" s="4" t="n">
        <v>1</v>
      </c>
      <c r="Q2588" s="4" t="n">
        <v>3471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하봉리 147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72000</v>
      </c>
      <c r="G2589" s="4" t="n">
        <v>1540</v>
      </c>
      <c r="H2589" s="4" t="n">
        <v>466</v>
      </c>
      <c r="I2589" s="5" t="n">
        <v>154.5</v>
      </c>
      <c r="J2589" s="5" t="n">
        <v>60.6</v>
      </c>
      <c r="K2589" s="3" t="inlineStr">
        <is>
          <t>조율가능 계획관리 근생,창고,카페 가능 포장도로접함</t>
        </is>
      </c>
      <c r="L2589" s="6">
        <f>HYPERLINK("https://fin.land.naver.com/articles/2653842985", "매물Link")</f>
        <v/>
      </c>
      <c r="M2589" s="6">
        <f>HYPERLINK("https://map.naver.com/p/search/장군면 하봉리 147", "지도Link")</f>
        <v/>
      </c>
      <c r="N2589" s="6">
        <f>HYPERLINK("http://www.eum.go.kr/web/ar/lu/luLandDet.jsp?pnu=3611035026101470000&amp;isNoScr=script&amp;mode=search", "토지이음")</f>
        <v/>
      </c>
      <c r="O2589" s="3" t="inlineStr">
        <is>
          <t>세종스타</t>
        </is>
      </c>
      <c r="P2589" s="4" t="n">
        <v>3</v>
      </c>
      <c r="Q2589" s="4" t="n">
        <v>1540</v>
      </c>
      <c r="R2589" s="3" t="inlineStr">
        <is>
          <t>지정되지않음</t>
        </is>
      </c>
      <c r="S2589" s="3" t="inlineStr">
        <is>
          <t>전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하봉리 147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72000</v>
      </c>
      <c r="G2590" s="4" t="n">
        <v>1540</v>
      </c>
      <c r="H2590" s="4" t="n">
        <v>466</v>
      </c>
      <c r="I2590" s="5" t="n">
        <v>154.5</v>
      </c>
      <c r="J2590" s="5" t="n">
        <v>60.6</v>
      </c>
      <c r="K2590" s="3" t="inlineStr">
        <is>
          <t>포장도로접,세종고속도로개통호재</t>
        </is>
      </c>
      <c r="L2590" s="6">
        <f>HYPERLINK("https://fin.land.naver.com/articles/2653135396", "매물Link")</f>
        <v/>
      </c>
      <c r="M2590" s="6">
        <f>HYPERLINK("https://map.naver.com/p/search/장군면 하봉리 147", "지도Link")</f>
        <v/>
      </c>
      <c r="N2590" s="6">
        <f>HYPERLINK("http://www.eum.go.kr/web/ar/lu/luLandDet.jsp?pnu=3611035026101470000&amp;isNoScr=script&amp;mode=search", "토지이음")</f>
        <v/>
      </c>
      <c r="O2590" s="3" t="inlineStr">
        <is>
          <t>개포대박</t>
        </is>
      </c>
      <c r="P2590" s="4" t="n">
        <v>1</v>
      </c>
      <c r="Q2590" s="4" t="n">
        <v>1540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163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월세</t>
        </is>
      </c>
      <c r="F2591" s="4" t="n">
        <v>5000</v>
      </c>
      <c r="G2591" s="4" t="n">
        <v>198</v>
      </c>
      <c r="H2591" s="4" t="n">
        <v>60</v>
      </c>
      <c r="I2591" s="5" t="n">
        <v>0.8</v>
      </c>
      <c r="J2591" s="5" t="n">
        <v>128.4</v>
      </c>
      <c r="K2591" s="3" t="inlineStr">
        <is>
          <t>교회, 기도원, 요양시설, 작품작업장,캠핑장으로 추천</t>
        </is>
      </c>
      <c r="L2591" s="6">
        <f>HYPERLINK("https://fin.land.naver.com/articles/2652652002", "매물Link")</f>
        <v/>
      </c>
      <c r="M2591" s="6">
        <f>HYPERLINK("https://map.naver.com/p/search/장군면 하봉리 163", "지도Link")</f>
        <v/>
      </c>
      <c r="N2591" s="6">
        <f>HYPERLINK("http://www.eum.go.kr/web/ar/lu/luLandDet.jsp?pnu=3611035026101630000&amp;isNoScr=script&amp;mode=search",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759</v>
      </c>
      <c r="R2591" s="3" t="inlineStr">
        <is>
          <t>지정되지않음</t>
        </is>
      </c>
      <c r="S2591" s="3" t="inlineStr">
        <is>
          <t>주상용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하봉리 163-4</t>
        </is>
      </c>
      <c r="B2592" s="3" t="inlineStr">
        <is>
          <t>계획관리지역</t>
        </is>
      </c>
      <c r="C2592" s="3" t="inlineStr">
        <is>
          <t>목장용지</t>
        </is>
      </c>
      <c r="D2592" s="3" t="inlineStr">
        <is>
          <t>목장용지</t>
        </is>
      </c>
      <c r="E2592" s="3" t="inlineStr">
        <is>
          <t>매매</t>
        </is>
      </c>
      <c r="F2592" s="4" t="n">
        <v>100000</v>
      </c>
      <c r="G2592" s="4" t="n">
        <v>1044</v>
      </c>
      <c r="H2592" s="4" t="n">
        <v>316</v>
      </c>
      <c r="I2592" s="5" t="n">
        <v>316.5</v>
      </c>
      <c r="J2592" s="5" t="n">
        <v>50.5</v>
      </c>
      <c r="K2592" s="3" t="inlineStr">
        <is>
          <t>하봉리토지매매 주택 목장용지있음</t>
        </is>
      </c>
      <c r="L2592" s="6">
        <f>HYPERLINK("https://fin.land.naver.com/articles/2653642172", "매물Link")</f>
        <v/>
      </c>
      <c r="M2592" s="6">
        <f>HYPERLINK("https://map.naver.com/p/search/장군면 하봉리 163-4", "지도Link")</f>
        <v/>
      </c>
      <c r="N2592" s="6">
        <f>HYPERLINK("http://www.eum.go.kr/web/ar/lu/luLandDet.jsp?pnu=3611035026101630004&amp;isNoScr=script&amp;mode=search", "토지이음")</f>
        <v/>
      </c>
      <c r="O2592" s="3" t="inlineStr">
        <is>
          <t>고운동리치세종</t>
        </is>
      </c>
      <c r="P2592" s="4" t="n">
        <v>1</v>
      </c>
      <c r="Q2592" s="4" t="n">
        <v>1044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장군면 하봉리 195</t>
        </is>
      </c>
      <c r="B2593" s="3" t="inlineStr">
        <is>
          <t>농림지역</t>
        </is>
      </c>
      <c r="C2593" s="3" t="inlineStr">
        <is>
          <t>전</t>
        </is>
      </c>
      <c r="D2593" s="3" t="inlineStr">
        <is>
          <t>대</t>
        </is>
      </c>
      <c r="E2593" s="3" t="inlineStr">
        <is>
          <t>매매</t>
        </is>
      </c>
      <c r="F2593" s="4" t="n">
        <v>62000</v>
      </c>
      <c r="G2593" s="4" t="n">
        <v>1858</v>
      </c>
      <c r="H2593" s="4" t="n">
        <v>562</v>
      </c>
      <c r="I2593" s="5" t="n">
        <v>110.3</v>
      </c>
      <c r="J2593" s="5" t="n">
        <v>19.9</v>
      </c>
      <c r="K2593" s="3" t="inlineStr">
        <is>
          <t>개발 될 토지</t>
        </is>
      </c>
      <c r="L2593" s="6">
        <f>HYPERLINK("https://fin.land.naver.com/articles/2652680356", "매물Link")</f>
        <v/>
      </c>
      <c r="M2593" s="6">
        <f>HYPERLINK("https://map.naver.com/p/search/장군면 하봉리 195", "지도Link")</f>
        <v/>
      </c>
      <c r="N2593" s="6">
        <f>HYPERLINK("http://www.eum.go.kr/web/ar/lu/luLandDet.jsp?pnu=3611035026101950000&amp;isNoScr=script&amp;mode=search", "토지이음")</f>
        <v/>
      </c>
      <c r="O2593" s="3" t="inlineStr">
        <is>
          <t>새땅</t>
        </is>
      </c>
      <c r="P2593" s="4" t="n">
        <v>1</v>
      </c>
      <c r="Q2593" s="4" t="n">
        <v>1858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맹지</t>
        </is>
      </c>
    </row>
    <row r="2594">
      <c r="A2594" s="3" t="inlineStr">
        <is>
          <t>장군면 하봉리 240-1</t>
        </is>
      </c>
      <c r="B2594" s="3" t="inlineStr">
        <is>
          <t>농림지역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68000</v>
      </c>
      <c r="G2594" s="4" t="n">
        <v>2029</v>
      </c>
      <c r="H2594" s="4" t="n">
        <v>614</v>
      </c>
      <c r="I2594" s="5" t="n">
        <v>110.7</v>
      </c>
      <c r="J2594" s="5" t="n">
        <v>29.6</v>
      </c>
      <c r="K2594" s="3" t="inlineStr">
        <is>
          <t>하봉리저수지인근으로 지목은 답 가격조정가능</t>
        </is>
      </c>
      <c r="L2594" s="6">
        <f>HYPERLINK("https://fin.land.naver.com/articles/2656225299", "매물Link")</f>
        <v/>
      </c>
      <c r="M2594" s="6">
        <f>HYPERLINK("https://map.naver.com/p/search/장군면 하봉리 240-1", "지도Link")</f>
        <v/>
      </c>
      <c r="N2594" s="6">
        <f>HYPERLINK("http://www.eum.go.kr/web/ar/lu/luLandDet.jsp?pnu=3611035026102400001&amp;isNoScr=script&amp;mode=search", "토지이음")</f>
        <v/>
      </c>
      <c r="O2594" s="3" t="inlineStr">
        <is>
          <t>고운동리치세종</t>
        </is>
      </c>
      <c r="P2594" s="4" t="n">
        <v>2</v>
      </c>
      <c r="Q2594" s="4" t="n">
        <v>2029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장군면 하봉리 255</t>
        </is>
      </c>
      <c r="B2595" s="3" t="inlineStr">
        <is>
          <t>계획관리지역</t>
        </is>
      </c>
      <c r="C2595" s="3" t="inlineStr">
        <is>
          <t>전</t>
        </is>
      </c>
      <c r="D2595" s="3" t="inlineStr">
        <is>
          <t>전</t>
        </is>
      </c>
      <c r="E2595" s="3" t="inlineStr">
        <is>
          <t>매매</t>
        </is>
      </c>
      <c r="F2595" s="4" t="n">
        <v>40000</v>
      </c>
      <c r="G2595" s="4" t="n">
        <v>1124</v>
      </c>
      <c r="H2595" s="4" t="n">
        <v>340</v>
      </c>
      <c r="I2595" s="5" t="n">
        <v>117.6</v>
      </c>
      <c r="J2595" s="5" t="n">
        <v>44</v>
      </c>
      <c r="K2595" s="3" t="inlineStr">
        <is>
          <t>송선동현지구 인근 계획관리지역의 전으로 마을포장도로에 접한 투자용 토지</t>
        </is>
      </c>
      <c r="L2595" s="6">
        <f>HYPERLINK("https://fin.land.naver.com/articles/2653855500", "매물Link")</f>
        <v/>
      </c>
      <c r="M2595" s="6">
        <f>HYPERLINK("https://map.naver.com/p/search/장군면 하봉리 255", "지도Link")</f>
        <v/>
      </c>
      <c r="N2595" s="6">
        <f>HYPERLINK("http://www.eum.go.kr/web/ar/lu/luLandDet.jsp?pnu=3611035026102550000&amp;isNoScr=script&amp;mode=search", "토지이음")</f>
        <v/>
      </c>
      <c r="O2595" s="3" t="inlineStr">
        <is>
          <t>스마일세종</t>
        </is>
      </c>
      <c r="P2595" s="4" t="n">
        <v>1</v>
      </c>
      <c r="Q2595" s="4" t="n">
        <v>1124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296-24</t>
        </is>
      </c>
      <c r="B2596" s="3" t="inlineStr">
        <is>
          <t>보전관리지역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40500</v>
      </c>
      <c r="G2596" s="4" t="n">
        <v>420</v>
      </c>
      <c r="H2596" s="4" t="n">
        <v>127</v>
      </c>
      <c r="I2596" s="5" t="n">
        <v>318.9</v>
      </c>
      <c r="J2596" s="5" t="n">
        <v>73.59999999999999</v>
      </c>
      <c r="K2596" s="3" t="inlineStr">
        <is>
          <t>포장도로, 바로 건축가능, 직접보시면 더 좋아요</t>
        </is>
      </c>
      <c r="L2596" s="6">
        <f>HYPERLINK("https://fin.land.naver.com/articles/2651618608", "매물Link")</f>
        <v/>
      </c>
      <c r="M2596" s="6">
        <f>HYPERLINK("https://map.naver.com/p/search/장군면 하봉리 296-24", "지도Link")</f>
        <v/>
      </c>
      <c r="N2596" s="6">
        <f>HYPERLINK("http://www.eum.go.kr/web/ar/lu/luLandDet.jsp?pnu=3611035026102960024&amp;isNoScr=script&amp;mode=search", "토지이음")</f>
        <v/>
      </c>
      <c r="O2596" s="3" t="inlineStr">
        <is>
          <t>리브</t>
        </is>
      </c>
      <c r="P2596" s="4" t="n">
        <v>1</v>
      </c>
      <c r="Q2596" s="4" t="n">
        <v>420</v>
      </c>
      <c r="R2596" s="3" t="inlineStr">
        <is>
          <t>지정되지않음</t>
        </is>
      </c>
      <c r="S2596" s="3" t="inlineStr">
        <is>
          <t>주거기타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296-34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350000</v>
      </c>
      <c r="G2597" s="4" t="n">
        <v>17408</v>
      </c>
      <c r="H2597" s="4" t="n">
        <v>5266</v>
      </c>
      <c r="I2597" s="5" t="n">
        <v>66.5</v>
      </c>
      <c r="J2597" s="5" t="n">
        <v>23.7</v>
      </c>
      <c r="K2597" s="3" t="inlineStr">
        <is>
          <t>개발하기 좋은 위치에 넓은 토지, 공주 송선 동현지구 인근</t>
        </is>
      </c>
      <c r="L2597" s="6">
        <f>HYPERLINK("https://fin.land.naver.com/articles/2653996096", "매물Link")</f>
        <v/>
      </c>
      <c r="M2597" s="6">
        <f>HYPERLINK("https://map.naver.com/p/search/장군면 하봉리 296-34", "지도Link")</f>
        <v/>
      </c>
      <c r="N2597" s="6">
        <f>HYPERLINK("http://www.eum.go.kr/web/ar/lu/luLandDet.jsp?pnu=3611035026102960034&amp;isNoScr=script&amp;mode=search", "토지이음")</f>
        <v/>
      </c>
      <c r="O2597" s="3" t="inlineStr">
        <is>
          <t>(주)미르</t>
        </is>
      </c>
      <c r="P2597" s="4" t="n">
        <v>1</v>
      </c>
      <c r="Q2597" s="4" t="n">
        <v>2930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세로한면(불)</t>
        </is>
      </c>
    </row>
    <row r="2598">
      <c r="A2598" s="3" t="inlineStr">
        <is>
          <t>장군면 하봉리 300-6</t>
        </is>
      </c>
      <c r="B2598" s="3" t="inlineStr">
        <is>
          <t>보전관리지역</t>
        </is>
      </c>
      <c r="C2598" s="3" t="inlineStr">
        <is>
          <t>대</t>
        </is>
      </c>
      <c r="D2598" s="3" t="inlineStr">
        <is>
          <t>대</t>
        </is>
      </c>
      <c r="E2598" s="3" t="inlineStr">
        <is>
          <t>매매</t>
        </is>
      </c>
      <c r="F2598" s="4" t="n">
        <v>39100</v>
      </c>
      <c r="G2598" s="4" t="n">
        <v>568</v>
      </c>
      <c r="H2598" s="4" t="n">
        <v>172</v>
      </c>
      <c r="I2598" s="5" t="n">
        <v>227.3</v>
      </c>
      <c r="J2598" s="5" t="n">
        <v>71.90000000000001</v>
      </c>
      <c r="K2598" s="3" t="inlineStr">
        <is>
          <t>nan</t>
        </is>
      </c>
      <c r="L2598" s="6">
        <f>HYPERLINK("https://fin.land.naver.com/articles/2656059301", "매물Link")</f>
        <v/>
      </c>
      <c r="M2598" s="6">
        <f>HYPERLINK("https://map.naver.com/p/search/장군면 하봉리 300-6", "지도Link")</f>
        <v/>
      </c>
      <c r="N2598" s="6">
        <f>HYPERLINK("http://www.eum.go.kr/web/ar/lu/luLandDet.jsp?pnu=3611035026103000006&amp;isNoScr=script&amp;mode=search", "토지이음")</f>
        <v/>
      </c>
      <c r="O2598" s="3" t="inlineStr">
        <is>
          <t>고운하임</t>
        </is>
      </c>
      <c r="P2598" s="4" t="n">
        <v>1</v>
      </c>
      <c r="Q2598" s="4" t="n">
        <v>568</v>
      </c>
      <c r="R2598" s="3" t="inlineStr">
        <is>
          <t>지정되지않음</t>
        </is>
      </c>
      <c r="S2598" s="3" t="inlineStr">
        <is>
          <t>주거나지</t>
        </is>
      </c>
      <c r="T2598" s="3" t="inlineStr">
        <is>
          <t>완경사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310</t>
        </is>
      </c>
      <c r="B2599" s="3" t="inlineStr">
        <is>
          <t>계획관리지역</t>
        </is>
      </c>
      <c r="C2599" s="3" t="inlineStr">
        <is>
          <t>목장용지</t>
        </is>
      </c>
      <c r="D2599" s="3" t="inlineStr">
        <is>
          <t>대</t>
        </is>
      </c>
      <c r="E2599" s="3" t="inlineStr">
        <is>
          <t>매매</t>
        </is>
      </c>
      <c r="F2599" s="4" t="n">
        <v>200000</v>
      </c>
      <c r="G2599" s="4" t="n">
        <v>4555</v>
      </c>
      <c r="H2599" s="4" t="n">
        <v>1378</v>
      </c>
      <c r="I2599" s="5" t="n">
        <v>145.1</v>
      </c>
      <c r="J2599" s="5" t="n">
        <v>58</v>
      </c>
      <c r="K2599" s="3" t="inlineStr">
        <is>
          <t>2차선 도로와 연접 무엇을 해도 좋을 자리 향후 전망 좋은 곳</t>
        </is>
      </c>
      <c r="L2599" s="6">
        <f>HYPERLINK("https://fin.land.naver.com/articles/2652933119", "매물Link")</f>
        <v/>
      </c>
      <c r="M2599" s="6">
        <f>HYPERLINK("https://map.naver.com/p/search/장군면 하봉리 310", "지도Link")</f>
        <v/>
      </c>
      <c r="N2599" s="6">
        <f>HYPERLINK("http://www.eum.go.kr/web/ar/lu/luLandDet.jsp?pnu=3611035026103100000&amp;isNoScr=script&amp;mode=search", "토지이음")</f>
        <v/>
      </c>
      <c r="O2599" s="3" t="inlineStr">
        <is>
          <t>세종공주원탑</t>
        </is>
      </c>
      <c r="P2599" s="4" t="n">
        <v>1</v>
      </c>
      <c r="Q2599" s="4" t="n">
        <v>1146</v>
      </c>
      <c r="R2599" s="3" t="inlineStr">
        <is>
          <t>지정되지않음</t>
        </is>
      </c>
      <c r="S2599" s="3" t="inlineStr">
        <is>
          <t>전축사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34-3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95000</v>
      </c>
      <c r="G2600" s="4" t="n">
        <v>1517</v>
      </c>
      <c r="H2600" s="4" t="n">
        <v>459</v>
      </c>
      <c r="I2600" s="5" t="n">
        <v>207</v>
      </c>
      <c r="J2600" s="5" t="n">
        <v>65.59999999999999</v>
      </c>
      <c r="K2600" s="3" t="inlineStr">
        <is>
          <t>진.출입 원활 계획관리지역 무엇을 해도 좋을 자리</t>
        </is>
      </c>
      <c r="L2600" s="6">
        <f>HYPERLINK("https://fin.land.naver.com/articles/2655508013", "매물Link")</f>
        <v/>
      </c>
      <c r="M2600" s="6">
        <f>HYPERLINK("https://map.naver.com/p/search/장군면 하봉리 34-3", "지도Link")</f>
        <v/>
      </c>
      <c r="N2600" s="6">
        <f>HYPERLINK("http://www.eum.go.kr/web/ar/lu/luLandDet.jsp?pnu=3611035026100340003&amp;isNoScr=script&amp;mode=search", "토지이음")</f>
        <v/>
      </c>
      <c r="O2600" s="3" t="inlineStr">
        <is>
          <t>세종공주원탑</t>
        </is>
      </c>
      <c r="P2600" s="4" t="n">
        <v>1</v>
      </c>
      <c r="Q2600" s="4" t="n">
        <v>188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사다리형</t>
        </is>
      </c>
      <c r="V2600" s="3" t="inlineStr">
        <is>
          <t>세로한면(가)</t>
        </is>
      </c>
    </row>
    <row r="2601">
      <c r="A2601" s="3" t="inlineStr">
        <is>
          <t>장군면 하봉리 36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173000</v>
      </c>
      <c r="G2601" s="4" t="n">
        <v>2199</v>
      </c>
      <c r="H2601" s="4" t="n">
        <v>665</v>
      </c>
      <c r="I2601" s="5" t="n">
        <v>260.2</v>
      </c>
      <c r="J2601" s="5" t="n">
        <v>63.8</v>
      </c>
      <c r="K2601" s="3" t="inlineStr">
        <is>
          <t>장군면 하봉리 구거 옆 계획관리 토지, 장군면 소재지, 서세종IC 인근</t>
        </is>
      </c>
      <c r="L2601" s="6">
        <f>HYPERLINK("https://fin.land.naver.com/articles/2654029859", "매물Link")</f>
        <v/>
      </c>
      <c r="M2601" s="6">
        <f>HYPERLINK("https://map.naver.com/p/search/장군면 하봉리 36", "지도Link")</f>
        <v/>
      </c>
      <c r="N2601" s="6">
        <f>HYPERLINK("http://www.eum.go.kr/web/ar/lu/luLandDet.jsp?pnu=3611035026100360000&amp;isNoScr=script&amp;mode=search", "토지이음")</f>
        <v/>
      </c>
      <c r="O2601" s="3" t="inlineStr">
        <is>
          <t>스카이</t>
        </is>
      </c>
      <c r="P2601" s="4" t="n">
        <v>1</v>
      </c>
      <c r="Q2601" s="4" t="n">
        <v>1802</v>
      </c>
      <c r="R2601" s="3" t="inlineStr">
        <is>
          <t>지정되지않음</t>
        </is>
      </c>
      <c r="S2601" s="3" t="inlineStr">
        <is>
          <t>전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하봉리 37-20</t>
        </is>
      </c>
      <c r="B2602" s="3" t="inlineStr">
        <is>
          <t>계획관리지역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120000</v>
      </c>
      <c r="G2602" s="4" t="n">
        <v>1125</v>
      </c>
      <c r="H2602" s="4" t="n">
        <v>340</v>
      </c>
      <c r="I2602" s="5" t="n">
        <v>352.9</v>
      </c>
      <c r="J2602" s="5" t="n">
        <v>119.7</v>
      </c>
      <c r="K2602" s="3" t="inlineStr">
        <is>
          <t>서세종IC인근.4차선포장도로변.계획관리지역.광고효과최고.단독음식점및물류</t>
        </is>
      </c>
      <c r="L2602" s="6">
        <f>HYPERLINK("https://fin.land.naver.com/articles/2656100117", "매물Link")</f>
        <v/>
      </c>
      <c r="M2602" s="6">
        <f>HYPERLINK("https://map.naver.com/p/search/장군면 하봉리 37-20", "지도Link")</f>
        <v/>
      </c>
      <c r="N2602" s="6">
        <f>HYPERLINK("http://www.eum.go.kr/web/ar/lu/luLandDet.jsp?pnu=3611035026100370020&amp;isNoScr=script&amp;mode=search", "토지이음")</f>
        <v/>
      </c>
      <c r="O2602" s="3" t="inlineStr">
        <is>
          <t>돈방석</t>
        </is>
      </c>
      <c r="P2602" s="4" t="n">
        <v>1</v>
      </c>
      <c r="Q2602" s="4" t="n">
        <v>1125</v>
      </c>
      <c r="R2602" s="3" t="inlineStr">
        <is>
          <t>지정되지않음</t>
        </is>
      </c>
      <c r="S2602" s="3" t="inlineStr">
        <is>
          <t>단독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소로한면</t>
        </is>
      </c>
    </row>
    <row r="2603">
      <c r="A2603" s="3" t="inlineStr">
        <is>
          <t>장군면 하봉리 37-20</t>
        </is>
      </c>
      <c r="B2603" s="3" t="inlineStr">
        <is>
          <t>계획관리지역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65000</v>
      </c>
      <c r="G2603" s="4" t="n">
        <v>1125</v>
      </c>
      <c r="H2603" s="4" t="n">
        <v>340</v>
      </c>
      <c r="I2603" s="5" t="n">
        <v>191.2</v>
      </c>
      <c r="J2603" s="5" t="n">
        <v>119.7</v>
      </c>
      <c r="K2603" s="3" t="inlineStr">
        <is>
          <t>급매 좋은가격,  귀한 계획관리 ,  투자가치높은토지 , 위치굿,대로변</t>
        </is>
      </c>
      <c r="L2603" s="6">
        <f>HYPERLINK("https://fin.land.naver.com/articles/2652357798", "매물Link")</f>
        <v/>
      </c>
      <c r="M2603" s="6">
        <f>HYPERLINK("https://map.naver.com/p/search/장군면 하봉리 37-20", "지도Link")</f>
        <v/>
      </c>
      <c r="N2603" s="6">
        <f>HYPERLINK("http://www.eum.go.kr/web/ar/lu/luLandDet.jsp?pnu=3611035026100370020&amp;isNoScr=script&amp;mode=search", "토지이음")</f>
        <v/>
      </c>
      <c r="O2603" s="3" t="inlineStr">
        <is>
          <t>세종특별시</t>
        </is>
      </c>
      <c r="P2603" s="4" t="n">
        <v>1</v>
      </c>
      <c r="Q2603" s="4" t="n">
        <v>1125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장군면 하봉리 37-36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39000</v>
      </c>
      <c r="G2604" s="4" t="n">
        <v>461</v>
      </c>
      <c r="H2604" s="4" t="n">
        <v>139</v>
      </c>
      <c r="I2604" s="5" t="n">
        <v>280.6</v>
      </c>
      <c r="J2604" s="5" t="n">
        <v>84.40000000000001</v>
      </c>
      <c r="K2604" s="3" t="inlineStr">
        <is>
          <t>서세종ic 5분거리 창고적지</t>
        </is>
      </c>
      <c r="L2604" s="6">
        <f>HYPERLINK("https://fin.land.naver.com/articles/2655765502", "매물Link")</f>
        <v/>
      </c>
      <c r="M2604" s="6">
        <f>HYPERLINK("https://map.naver.com/p/search/장군면 하봉리 37-36", "지도Link")</f>
        <v/>
      </c>
      <c r="N2604" s="6">
        <f>HYPERLINK("http://www.eum.go.kr/web/ar/lu/luLandDet.jsp?pnu=3611035026100370036&amp;isNoScr=script&amp;mode=search",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461</v>
      </c>
      <c r="R2604" s="3" t="inlineStr">
        <is>
          <t>지정되지않음</t>
        </is>
      </c>
      <c r="S2604" s="3" t="inlineStr">
        <is>
          <t>전기타</t>
        </is>
      </c>
      <c r="T2604" s="3" t="inlineStr">
        <is>
          <t>평지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하봉리 37-77</t>
        </is>
      </c>
      <c r="B2605" s="3" t="inlineStr">
        <is>
          <t>계획관리지역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43000</v>
      </c>
      <c r="G2605" s="4" t="n">
        <v>510</v>
      </c>
      <c r="H2605" s="4" t="n">
        <v>154</v>
      </c>
      <c r="I2605" s="5" t="n">
        <v>279.2</v>
      </c>
      <c r="J2605" s="5" t="n">
        <v>84.40000000000001</v>
      </c>
      <c r="K2605" s="3" t="inlineStr">
        <is>
          <t>서세종ic 5분 근생 창고 적지</t>
        </is>
      </c>
      <c r="L2605" s="6">
        <f>HYPERLINK("https://fin.land.naver.com/articles/2654706807", "매물Link")</f>
        <v/>
      </c>
      <c r="M2605" s="6">
        <f>HYPERLINK("https://map.naver.com/p/search/장군면 하봉리 37-77", "지도Link")</f>
        <v/>
      </c>
      <c r="N2605" s="6">
        <f>HYPERLINK("http://www.eum.go.kr/web/ar/lu/luLandDet.jsp?pnu=3611035026100370077&amp;isNoScr=script&amp;mode=search", "토지이음")</f>
        <v/>
      </c>
      <c r="O2605" s="3" t="inlineStr">
        <is>
          <t>세종천지</t>
        </is>
      </c>
      <c r="P2605" s="4" t="n">
        <v>1</v>
      </c>
      <c r="Q2605" s="4" t="n">
        <v>510</v>
      </c>
      <c r="R2605" s="3" t="inlineStr">
        <is>
          <t>지정되지않음</t>
        </is>
      </c>
      <c r="S2605" s="3" t="inlineStr">
        <is>
          <t>전기타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37-83</t>
        </is>
      </c>
      <c r="B2606" s="3" t="inlineStr">
        <is>
          <t>계획관리지역</t>
        </is>
      </c>
      <c r="C2606" s="3" t="inlineStr">
        <is>
          <t>임야</t>
        </is>
      </c>
      <c r="D2606" s="3" t="inlineStr">
        <is>
          <t>임야</t>
        </is>
      </c>
      <c r="E2606" s="3" t="inlineStr">
        <is>
          <t>매매</t>
        </is>
      </c>
      <c r="F2606" s="4" t="n">
        <v>73000</v>
      </c>
      <c r="G2606" s="4" t="n">
        <v>684</v>
      </c>
      <c r="H2606" s="4" t="n">
        <v>207</v>
      </c>
      <c r="I2606" s="5" t="n">
        <v>352.7</v>
      </c>
      <c r="J2606" s="5" t="n">
        <v>86.2</v>
      </c>
      <c r="K2606" s="3" t="inlineStr">
        <is>
          <t>2차선변 토지</t>
        </is>
      </c>
      <c r="L2606" s="6">
        <f>HYPERLINK("https://fin.land.naver.com/articles/2652270458", "매물Link")</f>
        <v/>
      </c>
      <c r="M2606" s="6">
        <f>HYPERLINK("https://map.naver.com/p/search/장군면 하봉리 37-83", "지도Link")</f>
        <v/>
      </c>
      <c r="N2606" s="6">
        <f>HYPERLINK("http://www.eum.go.kr/web/ar/lu/luLandDet.jsp?pnu=3611035026100370083&amp;isNoScr=script&amp;mode=search", "토지이음")</f>
        <v/>
      </c>
      <c r="O2606" s="3" t="inlineStr">
        <is>
          <t>새땅</t>
        </is>
      </c>
      <c r="P2606" s="4" t="n">
        <v>1</v>
      </c>
      <c r="Q2606" s="4" t="n">
        <v>684</v>
      </c>
      <c r="R2606" s="3" t="inlineStr">
        <is>
          <t>지정되지않음</t>
        </is>
      </c>
      <c r="S2606" s="3" t="inlineStr">
        <is>
          <t>전기타</t>
        </is>
      </c>
      <c r="T2606" s="3" t="inlineStr">
        <is>
          <t>평지</t>
        </is>
      </c>
      <c r="U2606" s="3" t="inlineStr">
        <is>
          <t>사다리형</t>
        </is>
      </c>
      <c r="V2606" s="3" t="inlineStr">
        <is>
          <t>세로한면(가)</t>
        </is>
      </c>
    </row>
    <row r="2607">
      <c r="A2607" s="3" t="inlineStr">
        <is>
          <t>장군면 하봉리 37-89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95000</v>
      </c>
      <c r="G2607" s="4" t="n">
        <v>889</v>
      </c>
      <c r="H2607" s="4" t="n">
        <v>269</v>
      </c>
      <c r="I2607" s="5" t="n">
        <v>353.2</v>
      </c>
      <c r="J2607" s="5" t="n">
        <v>86.7</v>
      </c>
      <c r="K2607" s="3" t="inlineStr">
        <is>
          <t>간선도로변 위치 최고</t>
        </is>
      </c>
      <c r="L2607" s="6">
        <f>HYPERLINK("https://fin.land.naver.com/articles/2652277198", "매물Link")</f>
        <v/>
      </c>
      <c r="M2607" s="6">
        <f>HYPERLINK("https://map.naver.com/p/search/장군면 하봉리 37-89", "지도Link")</f>
        <v/>
      </c>
      <c r="N2607" s="6">
        <f>HYPERLINK("http://www.eum.go.kr/web/ar/lu/luLandDet.jsp?pnu=3611035026100370089&amp;isNoScr=script&amp;mode=search", "토지이음")</f>
        <v/>
      </c>
      <c r="O2607" s="3" t="inlineStr">
        <is>
          <t>새땅</t>
        </is>
      </c>
      <c r="P2607" s="4" t="n">
        <v>1</v>
      </c>
      <c r="Q2607" s="4" t="n">
        <v>889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44-2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62000</v>
      </c>
      <c r="G2608" s="4" t="n">
        <v>2008</v>
      </c>
      <c r="H2608" s="4" t="n">
        <v>607</v>
      </c>
      <c r="I2608" s="5" t="n">
        <v>102.1</v>
      </c>
      <c r="J2608" s="5" t="n">
        <v>44</v>
      </c>
      <c r="K2608" s="3" t="inlineStr">
        <is>
          <t>서세종 톨게이트 근접한 계획관리 토지</t>
        </is>
      </c>
      <c r="L2608" s="6">
        <f>HYPERLINK("https://fin.land.naver.com/articles/2654318308", "매물Link")</f>
        <v/>
      </c>
      <c r="M2608" s="6">
        <f>HYPERLINK("https://map.naver.com/p/search/장군면 하봉리 44-2", "지도Link")</f>
        <v/>
      </c>
      <c r="N2608" s="6">
        <f>HYPERLINK("http://www.eum.go.kr/web/ar/lu/luLandDet.jsp?pnu=3611035026100440002&amp;isNoScr=script&amp;mode=search", "토지이음")</f>
        <v/>
      </c>
      <c r="O2608" s="3" t="inlineStr">
        <is>
          <t>발품</t>
        </is>
      </c>
      <c r="P2608" s="4" t="n">
        <v>1</v>
      </c>
      <c r="Q2608" s="4" t="n">
        <v>1473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맹지</t>
        </is>
      </c>
    </row>
    <row r="2609">
      <c r="A2609" s="3" t="inlineStr">
        <is>
          <t>장군면 하봉리 478-4</t>
        </is>
      </c>
      <c r="B2609" s="3" t="inlineStr">
        <is>
          <t>계획관리지역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60000</v>
      </c>
      <c r="G2609" s="4" t="n">
        <v>1255</v>
      </c>
      <c r="H2609" s="4" t="n">
        <v>380</v>
      </c>
      <c r="I2609" s="5" t="n">
        <v>157.9</v>
      </c>
      <c r="J2609" s="5" t="n">
        <v>55.8</v>
      </c>
      <c r="K2609" s="3" t="inlineStr">
        <is>
          <t>현재 밭으로 사용중  주목10년생 약 80여 그루, 두릅나무5</t>
        </is>
      </c>
      <c r="L2609" s="6">
        <f>HYPERLINK("https://fin.land.naver.com/articles/2655606785", "매물Link")</f>
        <v/>
      </c>
      <c r="M2609" s="6">
        <f>HYPERLINK("https://map.naver.com/p/search/장군면 하봉리 478-4", "지도Link")</f>
        <v/>
      </c>
      <c r="N2609" s="6">
        <f>HYPERLINK("http://www.eum.go.kr/web/ar/lu/luLandDet.jsp?pnu=3611035026104780004&amp;isNoScr=script&amp;mode=search", "토지이음")</f>
        <v/>
      </c>
      <c r="O2609" s="3" t="inlineStr">
        <is>
          <t>신우</t>
        </is>
      </c>
      <c r="P2609" s="4" t="n">
        <v>1</v>
      </c>
      <c r="Q2609" s="4" t="n">
        <v>1255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장군면 하봉리 479-11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70700</v>
      </c>
      <c r="G2610" s="4" t="n">
        <v>1946</v>
      </c>
      <c r="H2610" s="4" t="n">
        <v>589</v>
      </c>
      <c r="I2610" s="5" t="n">
        <v>120</v>
      </c>
      <c r="J2610" s="5" t="n">
        <v>33.6</v>
      </c>
      <c r="K2610" s="3" t="inlineStr">
        <is>
          <t>대토 추천, 2차선도로접 좋은 위치</t>
        </is>
      </c>
      <c r="L2610" s="6">
        <f>HYPERLINK("https://fin.land.naver.com/articles/2652039163", "매물Link")</f>
        <v/>
      </c>
      <c r="M2610" s="6">
        <f>HYPERLINK("https://map.naver.com/p/search/장군면 하봉리 479-11", "지도Link")</f>
        <v/>
      </c>
      <c r="N2610" s="6">
        <f>HYPERLINK("http://www.eum.go.kr/web/ar/lu/luLandDet.jsp?pnu=3611035026104790011&amp;isNoScr=script&amp;mode=search", "토지이음")</f>
        <v/>
      </c>
      <c r="O2610" s="3" t="inlineStr">
        <is>
          <t>미스터홈즈강남지사</t>
        </is>
      </c>
      <c r="P2610" s="4" t="n">
        <v>2</v>
      </c>
      <c r="Q2610" s="4" t="n">
        <v>1946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평지</t>
        </is>
      </c>
      <c r="U2610" s="3" t="inlineStr">
        <is>
          <t>세로장방</t>
        </is>
      </c>
      <c r="V2610" s="3" t="inlineStr">
        <is>
          <t>소로한면</t>
        </is>
      </c>
    </row>
    <row r="2611">
      <c r="A2611" s="3" t="inlineStr">
        <is>
          <t>장군면 하봉리 480-4</t>
        </is>
      </c>
      <c r="B2611" s="3" t="inlineStr">
        <is>
          <t>계획관리지역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180000</v>
      </c>
      <c r="G2611" s="4" t="n">
        <v>2988</v>
      </c>
      <c r="H2611" s="4" t="n">
        <v>904</v>
      </c>
      <c r="I2611" s="5" t="n">
        <v>199.1</v>
      </c>
      <c r="J2611" s="5" t="n">
        <v>78.2</v>
      </c>
      <c r="K2611" s="3" t="inlineStr">
        <is>
          <t>계획관리지역의 농지로 포장도로에 접해있어 공장이나 창고부지로 적합한 토지</t>
        </is>
      </c>
      <c r="L2611" s="6">
        <f>HYPERLINK("https://fin.land.naver.com/articles/2651458895", "매물Link")</f>
        <v/>
      </c>
      <c r="M2611" s="6">
        <f>HYPERLINK("https://map.naver.com/p/search/장군면 하봉리 480-4", "지도Link")</f>
        <v/>
      </c>
      <c r="N2611" s="6">
        <f>HYPERLINK("http://www.eum.go.kr/web/ar/lu/luLandDet.jsp?pnu=3611035026104800004&amp;isNoScr=script&amp;mode=search", "토지이음")</f>
        <v/>
      </c>
      <c r="O2611" s="3" t="inlineStr">
        <is>
          <t>스마일세종</t>
        </is>
      </c>
      <c r="P2611" s="4" t="n">
        <v>1</v>
      </c>
      <c r="Q2611" s="4" t="n">
        <v>2988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세로각지(가)</t>
        </is>
      </c>
    </row>
    <row r="2612">
      <c r="A2612" s="3" t="inlineStr">
        <is>
          <t>장군면 하봉리 481-4</t>
        </is>
      </c>
      <c r="B2612" s="3" t="inlineStr">
        <is>
          <t>계획관리지역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66000</v>
      </c>
      <c r="G2612" s="4" t="n">
        <v>1576</v>
      </c>
      <c r="H2612" s="4" t="n">
        <v>477</v>
      </c>
      <c r="I2612" s="5" t="n">
        <v>138.4</v>
      </c>
      <c r="J2612" s="5" t="n">
        <v>52</v>
      </c>
      <c r="K2612" s="3" t="inlineStr">
        <is>
          <t>농지영농부담 없는곳 주변호재 투자최적</t>
        </is>
      </c>
      <c r="L2612" s="6">
        <f>HYPERLINK("https://fin.land.naver.com/articles/2653904494", "매물Link")</f>
        <v/>
      </c>
      <c r="M2612" s="6">
        <f>HYPERLINK("https://map.naver.com/p/search/장군면 하봉리 481-4", "지도Link")</f>
        <v/>
      </c>
      <c r="N2612" s="6">
        <f>HYPERLINK("http://www.eum.go.kr/web/ar/lu/luLandDet.jsp?pnu=3611035026104810004&amp;isNoScr=script&amp;mode=search", "토지이음")</f>
        <v/>
      </c>
      <c r="O2612" s="3" t="inlineStr">
        <is>
          <t>신두정리치</t>
        </is>
      </c>
      <c r="P2612" s="4" t="n">
        <v>2</v>
      </c>
      <c r="Q2612" s="4" t="n">
        <v>1576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하봉리 481-4</t>
        </is>
      </c>
      <c r="B2613" s="3" t="inlineStr">
        <is>
          <t>계획관리지역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67000</v>
      </c>
      <c r="G2613" s="4" t="n">
        <v>1576</v>
      </c>
      <c r="H2613" s="4" t="n">
        <v>477</v>
      </c>
      <c r="I2613" s="5" t="n">
        <v>140.5</v>
      </c>
      <c r="J2613" s="5" t="n">
        <v>52</v>
      </c>
      <c r="K2613" s="3" t="inlineStr">
        <is>
          <t>2차선 도로접,세종IC 인접, 세종 행복도심과 공주 송선동현지구 중심입</t>
        </is>
      </c>
      <c r="L2613" s="6">
        <f>HYPERLINK("https://fin.land.naver.com/articles/2654927929", "매물Link")</f>
        <v/>
      </c>
      <c r="M2613" s="6">
        <f>HYPERLINK("https://map.naver.com/p/search/장군면 하봉리 481-4", "지도Link")</f>
        <v/>
      </c>
      <c r="N2613" s="6">
        <f>HYPERLINK("http://www.eum.go.kr/web/ar/lu/luLandDet.jsp?pnu=3611035026104810004&amp;isNoScr=script&amp;mode=search", "토지이음")</f>
        <v/>
      </c>
      <c r="O2613" s="3" t="inlineStr">
        <is>
          <t>세종신한</t>
        </is>
      </c>
      <c r="P2613" s="4" t="n">
        <v>10</v>
      </c>
      <c r="Q2613" s="4" t="n">
        <v>1576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세로장방</t>
        </is>
      </c>
      <c r="V2613" s="3" t="inlineStr">
        <is>
          <t>세로한면(가)</t>
        </is>
      </c>
    </row>
    <row r="2614">
      <c r="A2614" s="3" t="inlineStr">
        <is>
          <t>장군면 하봉리 481-4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66780</v>
      </c>
      <c r="G2614" s="4" t="n">
        <v>1576</v>
      </c>
      <c r="H2614" s="4" t="n">
        <v>477</v>
      </c>
      <c r="I2614" s="5" t="n">
        <v>140</v>
      </c>
      <c r="J2614" s="5" t="n">
        <v>52</v>
      </c>
      <c r="K2614" s="3" t="inlineStr">
        <is>
          <t>서세종IC 인근 도로접한 계획관리지역 성장관리계획구역 알토란 토지</t>
        </is>
      </c>
      <c r="L2614" s="6">
        <f>HYPERLINK("https://fin.land.naver.com/articles/2654370217", "매물Link")</f>
        <v/>
      </c>
      <c r="M2614" s="6">
        <f>HYPERLINK("https://map.naver.com/p/search/장군면 하봉리 481-4", "지도Link")</f>
        <v/>
      </c>
      <c r="N2614" s="6">
        <f>HYPERLINK("http://www.eum.go.kr/web/ar/lu/luLandDet.jsp?pnu=3611035026104810004&amp;isNoScr=script&amp;mode=search", "토지이음")</f>
        <v/>
      </c>
      <c r="O2614" s="3" t="inlineStr">
        <is>
          <t>고운맘</t>
        </is>
      </c>
      <c r="P2614" s="4" t="n">
        <v>1</v>
      </c>
      <c r="Q2614" s="4" t="n">
        <v>1576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완경사</t>
        </is>
      </c>
      <c r="U2614" s="3" t="inlineStr">
        <is>
          <t>세로장방</t>
        </is>
      </c>
      <c r="V2614" s="3" t="inlineStr">
        <is>
          <t>세로한면(가)</t>
        </is>
      </c>
    </row>
    <row r="2615">
      <c r="A2615" s="3" t="inlineStr">
        <is>
          <t>장군면 하봉리 481-4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66700</v>
      </c>
      <c r="G2615" s="4" t="n">
        <v>1576</v>
      </c>
      <c r="H2615" s="4" t="n">
        <v>477</v>
      </c>
      <c r="I2615" s="5" t="n">
        <v>139.8</v>
      </c>
      <c r="J2615" s="5" t="n">
        <v>52</v>
      </c>
      <c r="K2615" s="3" t="inlineStr">
        <is>
          <t>메타세쿼이아 숲 조성, 계획관리지역, 서세종IC 차량 약 5분</t>
        </is>
      </c>
      <c r="L2615" s="6">
        <f>HYPERLINK("https://fin.land.naver.com/articles/2654291684", "매물Link")</f>
        <v/>
      </c>
      <c r="M2615" s="6">
        <f>HYPERLINK("https://map.naver.com/p/search/장군면 하봉리 481-4", "지도Link")</f>
        <v/>
      </c>
      <c r="N2615" s="6">
        <f>HYPERLINK("http://www.eum.go.kr/web/ar/lu/luLandDet.jsp?pnu=3611035026104810004&amp;isNoScr=script&amp;mode=search", "토지이음")</f>
        <v/>
      </c>
      <c r="O2615" s="3" t="inlineStr">
        <is>
          <t>세종소담황금</t>
        </is>
      </c>
      <c r="P2615" s="4" t="n">
        <v>1</v>
      </c>
      <c r="Q2615" s="4" t="n">
        <v>1576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완경사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481-4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62000</v>
      </c>
      <c r="G2616" s="4" t="n">
        <v>1576</v>
      </c>
      <c r="H2616" s="4" t="n">
        <v>477</v>
      </c>
      <c r="I2616" s="5" t="n">
        <v>130</v>
      </c>
      <c r="J2616" s="5" t="n">
        <v>52</v>
      </c>
      <c r="K2616" s="3" t="inlineStr">
        <is>
          <t>세종 장군면 하봉리 계획관리 농지 매매</t>
        </is>
      </c>
      <c r="L2616" s="6">
        <f>HYPERLINK("https://fin.land.naver.com/articles/2654258525", "매물Link")</f>
        <v/>
      </c>
      <c r="M2616" s="6">
        <f>HYPERLINK("https://map.naver.com/p/search/장군면 하봉리 481-4", "지도Link")</f>
        <v/>
      </c>
      <c r="N2616" s="6">
        <f>HYPERLINK("http://www.eum.go.kr/web/ar/lu/luLandDet.jsp?pnu=3611035026104810004&amp;isNoScr=script&amp;mode=search", "토지이음")</f>
        <v/>
      </c>
      <c r="O2616" s="3" t="inlineStr">
        <is>
          <t>세종몽땅</t>
        </is>
      </c>
      <c r="P2616" s="4" t="n">
        <v>1</v>
      </c>
      <c r="Q2616" s="4" t="n">
        <v>1576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하봉리 51-44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31000</v>
      </c>
      <c r="G2617" s="4" t="n">
        <v>447</v>
      </c>
      <c r="H2617" s="4" t="n">
        <v>135</v>
      </c>
      <c r="I2617" s="5" t="n">
        <v>229.6</v>
      </c>
      <c r="J2617" s="5" t="n">
        <v>225.3</v>
      </c>
      <c r="K2617" s="3" t="inlineStr">
        <is>
          <t>nan</t>
        </is>
      </c>
      <c r="L2617" s="6">
        <f>HYPERLINK("https://fin.land.naver.com/articles/2655695357", "매물Link")</f>
        <v/>
      </c>
      <c r="M2617" s="6">
        <f>HYPERLINK("https://map.naver.com/p/search/장군면 하봉리 51-44", "지도Link")</f>
        <v/>
      </c>
      <c r="N2617" s="6">
        <f>HYPERLINK("http://www.eum.go.kr/web/ar/lu/luLandDet.jsp?pnu=3611035026100510044&amp;isNoScr=script&amp;mode=search", "토지이음")</f>
        <v/>
      </c>
      <c r="O2617" s="3" t="inlineStr">
        <is>
          <t>다정현대</t>
        </is>
      </c>
      <c r="P2617" s="4" t="n">
        <v>1</v>
      </c>
      <c r="Q2617" s="4" t="n">
        <v>392</v>
      </c>
      <c r="R2617" s="3" t="inlineStr">
        <is>
          <t>지정되지않음</t>
        </is>
      </c>
      <c r="S2617" s="3" t="inlineStr">
        <is>
          <t>주거나지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세로한면(가)</t>
        </is>
      </c>
    </row>
    <row r="2618">
      <c r="A2618" s="3" t="inlineStr">
        <is>
          <t>장군면 하봉리 51-46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13000</v>
      </c>
      <c r="G2618" s="4" t="n">
        <v>132</v>
      </c>
      <c r="H2618" s="4" t="n">
        <v>40</v>
      </c>
      <c r="I2618" s="5" t="n">
        <v>325</v>
      </c>
      <c r="J2618" s="5" t="n">
        <v>225.3</v>
      </c>
      <c r="K2618" s="3" t="inlineStr">
        <is>
          <t>nan</t>
        </is>
      </c>
      <c r="L2618" s="6">
        <f>HYPERLINK("https://fin.land.naver.com/articles/2652853853", "매물Link")</f>
        <v/>
      </c>
      <c r="M2618" s="6">
        <f>HYPERLINK("https://map.naver.com/p/search/장군면 하봉리 51-46", "지도Link")</f>
        <v/>
      </c>
      <c r="N2618" s="6">
        <f>HYPERLINK("http://www.eum.go.kr/web/ar/lu/luLandDet.jsp?pnu=3611035026100510046&amp;isNoScr=script&amp;mode=search", "토지이음")</f>
        <v/>
      </c>
      <c r="O2618" s="3" t="inlineStr">
        <is>
          <t>다정현대</t>
        </is>
      </c>
      <c r="P2618" s="4" t="n">
        <v>1</v>
      </c>
      <c r="Q2618" s="4" t="n">
        <v>465</v>
      </c>
      <c r="R2618" s="3" t="inlineStr">
        <is>
          <t>지정되지않음</t>
        </is>
      </c>
      <c r="S2618" s="3" t="inlineStr">
        <is>
          <t>주거나지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세로한면(가)</t>
        </is>
      </c>
    </row>
    <row r="2619">
      <c r="A2619" s="3" t="inlineStr">
        <is>
          <t>장군면 하봉리 538-1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대</t>
        </is>
      </c>
      <c r="E2619" s="3" t="inlineStr">
        <is>
          <t>매매</t>
        </is>
      </c>
      <c r="F2619" s="4" t="n">
        <v>123450</v>
      </c>
      <c r="G2619" s="4" t="n">
        <v>2720</v>
      </c>
      <c r="H2619" s="4" t="n">
        <v>823</v>
      </c>
      <c r="I2619" s="5" t="n">
        <v>150</v>
      </c>
      <c r="J2619" s="5" t="n">
        <v>37.4</v>
      </c>
      <c r="K2619" s="3" t="inlineStr">
        <is>
          <t>계획관리이며 송선동개발지역 근접거리</t>
        </is>
      </c>
      <c r="L2619" s="6">
        <f>HYPERLINK("https://fin.land.naver.com/articles/2653147645", "매물Link")</f>
        <v/>
      </c>
      <c r="M2619" s="6">
        <f>HYPERLINK("https://map.naver.com/p/search/장군면 하봉리 538-1", "지도Link")</f>
        <v/>
      </c>
      <c r="N2619" s="6">
        <f>HYPERLINK("http://www.eum.go.kr/web/ar/lu/luLandDet.jsp?pnu=3611035026105380001&amp;isNoScr=script&amp;mode=search", "토지이음")</f>
        <v/>
      </c>
      <c r="O2619" s="3" t="inlineStr">
        <is>
          <t>윤앤강</t>
        </is>
      </c>
      <c r="P2619" s="4" t="n">
        <v>1</v>
      </c>
      <c r="Q2619" s="4" t="n">
        <v>2720.7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59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90000</v>
      </c>
      <c r="G2620" s="4" t="n">
        <v>1466</v>
      </c>
      <c r="H2620" s="4" t="n">
        <v>443</v>
      </c>
      <c r="I2620" s="5" t="n">
        <v>203.2</v>
      </c>
      <c r="J2620" s="5" t="n">
        <v>80</v>
      </c>
      <c r="K2620" s="3" t="inlineStr">
        <is>
          <t>nan</t>
        </is>
      </c>
      <c r="L2620" s="6">
        <f>HYPERLINK("https://fin.land.naver.com/articles/2651391140", "매물Link")</f>
        <v/>
      </c>
      <c r="M2620" s="6">
        <f>HYPERLINK("https://map.naver.com/p/search/장군면 하봉리 59", "지도Link")</f>
        <v/>
      </c>
      <c r="N2620" s="6">
        <f>HYPERLINK("http://www.eum.go.kr/web/ar/lu/luLandDet.jsp?pnu=3611035026100590000&amp;isNoScr=script&amp;mode=search", "토지이음")</f>
        <v/>
      </c>
      <c r="O2620" s="3" t="inlineStr">
        <is>
          <t>신우</t>
        </is>
      </c>
      <c r="P2620" s="4" t="n">
        <v>1</v>
      </c>
      <c r="Q2620" s="4" t="n">
        <v>1466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63-2</t>
        </is>
      </c>
      <c r="B2621" s="3" t="inlineStr">
        <is>
          <t>계획관리지역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57000</v>
      </c>
      <c r="G2621" s="4" t="n">
        <v>826</v>
      </c>
      <c r="H2621" s="4" t="n">
        <v>250</v>
      </c>
      <c r="I2621" s="5" t="n">
        <v>228</v>
      </c>
      <c r="J2621" s="5" t="n">
        <v>107.6</v>
      </c>
      <c r="K2621" s="3" t="inlineStr">
        <is>
          <t>계획관리지역 공주시 송선.동현지구 도시개발사업 영향,투자용 추천</t>
        </is>
      </c>
      <c r="L2621" s="6">
        <f>HYPERLINK("https://fin.land.naver.com/articles/2652754150", "매물Link")</f>
        <v/>
      </c>
      <c r="M2621" s="6">
        <f>HYPERLINK("https://map.naver.com/p/search/장군면 하봉리 63-2", "지도Link")</f>
        <v/>
      </c>
      <c r="N2621" s="6">
        <f>HYPERLINK("http://www.eum.go.kr/web/ar/lu/luLandDet.jsp?pnu=3611035026100630002&amp;isNoScr=script&amp;mode=search", "토지이음")</f>
        <v/>
      </c>
      <c r="O2621" s="3" t="inlineStr">
        <is>
          <t>고운맘</t>
        </is>
      </c>
      <c r="P2621" s="4" t="n">
        <v>1</v>
      </c>
      <c r="Q2621" s="4" t="n">
        <v>405</v>
      </c>
      <c r="R2621" s="3" t="inlineStr">
        <is>
          <t>지정되지않음</t>
        </is>
      </c>
      <c r="S2621" s="3" t="inlineStr">
        <is>
          <t>단독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하봉리 88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전</t>
        </is>
      </c>
      <c r="E2622" s="3" t="inlineStr">
        <is>
          <t>매매</t>
        </is>
      </c>
      <c r="F2622" s="4" t="n">
        <v>143400</v>
      </c>
      <c r="G2622" s="4" t="n">
        <v>1582</v>
      </c>
      <c r="H2622" s="4" t="n">
        <v>479</v>
      </c>
      <c r="I2622" s="5" t="n">
        <v>299.4</v>
      </c>
      <c r="J2622" s="5" t="n">
        <v>67.59999999999999</v>
      </c>
      <c r="K2622" s="3" t="inlineStr">
        <is>
          <t>서세종IC 인근 세종 장군면 교통광장 접한 성장관리계획 토지</t>
        </is>
      </c>
      <c r="L2622" s="6">
        <f>HYPERLINK("https://fin.land.naver.com/articles/2656376226", "매물Link")</f>
        <v/>
      </c>
      <c r="M2622" s="6">
        <f>HYPERLINK("https://map.naver.com/p/search/장군면 하봉리 88", "지도Link")</f>
        <v/>
      </c>
      <c r="N2622" s="6">
        <f>HYPERLINK("http://www.eum.go.kr/web/ar/lu/luLandDet.jsp?pnu=3611035026100880000&amp;isNoScr=script&amp;mode=search", "토지이음")</f>
        <v/>
      </c>
      <c r="O2622" s="3" t="inlineStr">
        <is>
          <t>대성오투그란데</t>
        </is>
      </c>
      <c r="P2622" s="4" t="n">
        <v>1</v>
      </c>
      <c r="Q2622" s="4" t="n">
        <v>1410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하봉리 90-10</t>
        </is>
      </c>
      <c r="B2623" s="3" t="inlineStr">
        <is>
          <t>계획관리지역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220000</v>
      </c>
      <c r="G2623" s="4" t="n">
        <v>5185</v>
      </c>
      <c r="H2623" s="4" t="n">
        <v>1568</v>
      </c>
      <c r="I2623" s="5" t="n">
        <v>140.3</v>
      </c>
      <c r="J2623" s="5" t="n">
        <v>25.5</v>
      </c>
      <c r="K2623" s="3" t="inlineStr">
        <is>
          <t>전원주택부지 , 창고부지 , 도로접 ,투자용으로 좋음</t>
        </is>
      </c>
      <c r="L2623" s="6">
        <f>HYPERLINK("https://fin.land.naver.com/articles/2653795977", "매물Link")</f>
        <v/>
      </c>
      <c r="M2623" s="6">
        <f>HYPERLINK("https://map.naver.com/p/search/장군면 하봉리 90-10", "지도Link")</f>
        <v/>
      </c>
      <c r="N2623" s="6">
        <f>HYPERLINK("http://www.eum.go.kr/web/ar/lu/luLandDet.jsp?pnu=3611035026100900010&amp;isNoScr=script&amp;mode=search", "토지이음")</f>
        <v/>
      </c>
      <c r="O2623" s="3" t="inlineStr">
        <is>
          <t>세종이룸</t>
        </is>
      </c>
      <c r="P2623" s="4" t="n">
        <v>2</v>
      </c>
      <c r="Q2623" s="4" t="n">
        <v>2797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세로각지(가)</t>
        </is>
      </c>
    </row>
    <row r="2624">
      <c r="A2624" s="3" t="inlineStr">
        <is>
          <t>장군면 하봉리 산12-76</t>
        </is>
      </c>
      <c r="B2624" s="3" t="inlineStr">
        <is>
          <t>보전관리지역</t>
        </is>
      </c>
      <c r="C2624" s="3" t="inlineStr">
        <is>
          <t>임야</t>
        </is>
      </c>
      <c r="D2624" s="3" t="inlineStr">
        <is>
          <t>임야</t>
        </is>
      </c>
      <c r="E2624" s="3" t="inlineStr">
        <is>
          <t>매매</t>
        </is>
      </c>
      <c r="F2624" s="4" t="n">
        <v>350000</v>
      </c>
      <c r="G2624" s="4" t="n">
        <v>17324</v>
      </c>
      <c r="H2624" s="4" t="n">
        <v>5241</v>
      </c>
      <c r="I2624" s="5" t="n">
        <v>66.8</v>
      </c>
      <c r="J2624" s="5" t="n">
        <v>21.2</v>
      </c>
      <c r="K2624" s="3" t="inlineStr">
        <is>
          <t>전망 좋은 위치 도로 개설 완료 전기.수도 인입 수월한 대형 토지</t>
        </is>
      </c>
      <c r="L2624" s="6">
        <f>HYPERLINK("https://fin.land.naver.com/articles/2654678640", "매물Link")</f>
        <v/>
      </c>
      <c r="M2624" s="6">
        <f>HYPERLINK("https://map.naver.com/p/search/장군면 하봉리 산12-76", "지도Link")</f>
        <v/>
      </c>
      <c r="N2624" s="6">
        <f>HYPERLINK("http://www.eum.go.kr/web/ar/lu/luLandDet.jsp?pnu=3611035026200120076&amp;isNoScr=script&amp;mode=search", "토지이음")</f>
        <v/>
      </c>
      <c r="O2624" s="3" t="inlineStr">
        <is>
          <t>세종공주원탑</t>
        </is>
      </c>
      <c r="P2624" s="4" t="n">
        <v>1</v>
      </c>
      <c r="Q2624" s="4" t="n">
        <v>14057</v>
      </c>
      <c r="R2624" s="3" t="inlineStr">
        <is>
          <t>지정되지않음</t>
        </is>
      </c>
      <c r="S2624" s="3" t="inlineStr">
        <is>
          <t>자연림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장군면 하봉리 산4-25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100000</v>
      </c>
      <c r="G2625" s="4" t="n">
        <v>5487</v>
      </c>
      <c r="H2625" s="4" t="n">
        <v>1660</v>
      </c>
      <c r="I2625" s="5" t="n">
        <v>60.2</v>
      </c>
      <c r="J2625" s="5" t="n">
        <v>17.5</v>
      </c>
      <c r="K2625" s="3" t="inlineStr">
        <is>
          <t>고속도로 인근에 있어 광고판 등으로 활용하면 좋은 경사도 완만한 임야</t>
        </is>
      </c>
      <c r="L2625" s="6">
        <f>HYPERLINK("https://fin.land.naver.com/articles/2651469622", "매물Link")</f>
        <v/>
      </c>
      <c r="M2625" s="6">
        <f>HYPERLINK("https://map.naver.com/p/search/장군면 하봉리 산4-25", "지도Link")</f>
        <v/>
      </c>
      <c r="N2625" s="6">
        <f>HYPERLINK("http://www.eum.go.kr/web/ar/lu/luLandDet.jsp?pnu=3611035026200040025&amp;isNoScr=script&amp;mode=search", "토지이음")</f>
        <v/>
      </c>
      <c r="O2625" s="3" t="inlineStr">
        <is>
          <t>스마일세종</t>
        </is>
      </c>
      <c r="P2625" s="4" t="n">
        <v>1</v>
      </c>
      <c r="Q2625" s="4" t="n">
        <v>5487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맹지</t>
        </is>
      </c>
    </row>
    <row r="2626">
      <c r="A2626" s="3" t="inlineStr">
        <is>
          <t>장군면 하봉리 산4-50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120000</v>
      </c>
      <c r="G2626" s="4" t="n">
        <v>330</v>
      </c>
      <c r="H2626" s="4" t="n">
        <v>100</v>
      </c>
      <c r="I2626" s="5" t="n">
        <v>1200</v>
      </c>
      <c r="J2626" s="5" t="n">
        <v>26.8</v>
      </c>
      <c r="K2626" s="3" t="inlineStr">
        <is>
          <t>주변에 택지조성을 잘 해놧어요.카페도 현재 영업중</t>
        </is>
      </c>
      <c r="L2626" s="6">
        <f>HYPERLINK("https://fin.land.naver.com/articles/2651218820", "매물Link")</f>
        <v/>
      </c>
      <c r="M2626" s="6">
        <f>HYPERLINK("https://map.naver.com/p/search/장군면 하봉리 산4-50", "지도Link")</f>
        <v/>
      </c>
      <c r="N2626" s="6">
        <f>HYPERLINK("http://www.eum.go.kr/web/ar/lu/luLandDet.jsp?pnu=3611035026200040050&amp;isNoScr=script&amp;mode=search", "토지이음")</f>
        <v/>
      </c>
      <c r="O2626" s="3" t="inlineStr">
        <is>
          <t>보람뜰</t>
        </is>
      </c>
      <c r="P2626" s="4" t="n">
        <v>1</v>
      </c>
      <c r="Q2626" s="4" t="n">
        <v>3306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노장리 235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29000</v>
      </c>
      <c r="G2627" s="4" t="n">
        <v>1213</v>
      </c>
      <c r="H2627" s="4" t="n">
        <v>367</v>
      </c>
      <c r="I2627" s="5" t="n">
        <v>79</v>
      </c>
      <c r="J2627" s="5" t="n">
        <v>18.2</v>
      </c>
      <c r="K2627" s="3" t="inlineStr">
        <is>
          <t>물멍할 수 있는 토지로 전망좋은 전원주택지,펜션,공방부지로 추천</t>
        </is>
      </c>
      <c r="L2627" s="6">
        <f>HYPERLINK("https://fin.land.naver.com/articles/2655744409", "매물Link")</f>
        <v/>
      </c>
      <c r="M2627" s="6">
        <f>HYPERLINK("https://map.naver.com/p/search/전동면 노장리 235", "지도Link")</f>
        <v/>
      </c>
      <c r="N2627" s="6">
        <f>HYPERLINK("http://www.eum.go.kr/web/ar/lu/luLandDet.jsp?pnu=3611038021102350000&amp;isNoScr=script&amp;mode=search", "토지이음")</f>
        <v/>
      </c>
      <c r="O2627" s="3" t="inlineStr">
        <is>
          <t>신안무소</t>
        </is>
      </c>
      <c r="P2627" s="4" t="n">
        <v>1</v>
      </c>
      <c r="Q2627" s="4" t="n">
        <v>1213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전동면 노장리 241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79000</v>
      </c>
      <c r="G2628" s="4" t="n">
        <v>5808</v>
      </c>
      <c r="H2628" s="4" t="n">
        <v>1757</v>
      </c>
      <c r="I2628" s="5" t="n">
        <v>45</v>
      </c>
      <c r="J2628" s="5" t="n">
        <v>12</v>
      </c>
      <c r="K2628" s="3" t="inlineStr">
        <is>
          <t>노장리 상노장저수지인근 농지매매</t>
        </is>
      </c>
      <c r="L2628" s="6">
        <f>HYPERLINK("https://fin.land.naver.com/articles/2655536909", "매물Link")</f>
        <v/>
      </c>
      <c r="M2628" s="6">
        <f>HYPERLINK("https://map.naver.com/p/search/전동면 노장리 241", "지도Link")</f>
        <v/>
      </c>
      <c r="N2628" s="6">
        <f>HYPERLINK("http://www.eum.go.kr/web/ar/lu/luLandDet.jsp?pnu=3611038021102410000&amp;isNoScr=script&amp;mode=search", "토지이음")</f>
        <v/>
      </c>
      <c r="O2628" s="3" t="inlineStr">
        <is>
          <t>에이스</t>
        </is>
      </c>
      <c r="P2628" s="4" t="n">
        <v>1</v>
      </c>
      <c r="Q2628" s="4" t="n">
        <v>5279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노장리 336</t>
        </is>
      </c>
      <c r="B2629" s="3" t="inlineStr">
        <is>
          <t>계획관리지역</t>
        </is>
      </c>
      <c r="C2629" s="3" t="inlineStr">
        <is>
          <t>전</t>
        </is>
      </c>
      <c r="D2629" s="3" t="inlineStr">
        <is>
          <t>전</t>
        </is>
      </c>
      <c r="E2629" s="3" t="inlineStr">
        <is>
          <t>매매</t>
        </is>
      </c>
      <c r="F2629" s="4" t="n">
        <v>35000</v>
      </c>
      <c r="G2629" s="4" t="n">
        <v>734</v>
      </c>
      <c r="H2629" s="4" t="n">
        <v>222</v>
      </c>
      <c r="I2629" s="5" t="n">
        <v>157.7</v>
      </c>
      <c r="J2629" s="5" t="n">
        <v>23.6</v>
      </c>
      <c r="K2629" s="3" t="inlineStr">
        <is>
          <t>전동면 노장산업단지 계획관리 토지매매</t>
        </is>
      </c>
      <c r="L2629" s="6">
        <f>HYPERLINK("https://fin.land.naver.com/articles/2654586737", "매물Link")</f>
        <v/>
      </c>
      <c r="M2629" s="6">
        <f>HYPERLINK("https://map.naver.com/p/search/전동면 노장리 336", "지도Link")</f>
        <v/>
      </c>
      <c r="N2629" s="6">
        <f>HYPERLINK("http://www.eum.go.kr/web/ar/lu/luLandDet.jsp?pnu=3611038021103360000&amp;isNoScr=script&amp;mode=search", "토지이음")</f>
        <v/>
      </c>
      <c r="O2629" s="3" t="inlineStr">
        <is>
          <t>스타트</t>
        </is>
      </c>
      <c r="P2629" s="4" t="n">
        <v>1</v>
      </c>
      <c r="Q2629" s="4" t="n">
        <v>734</v>
      </c>
      <c r="R2629" s="3" t="inlineStr">
        <is>
          <t>지정되지않음</t>
        </is>
      </c>
      <c r="S2629" s="3" t="inlineStr">
        <is>
          <t>전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전동면 노장리 364</t>
        </is>
      </c>
      <c r="B2630" s="3" t="inlineStr">
        <is>
          <t>계획관리지역</t>
        </is>
      </c>
      <c r="C2630" s="3" t="inlineStr">
        <is>
          <t>잡종지</t>
        </is>
      </c>
      <c r="D2630" s="3" t="inlineStr">
        <is>
          <t>잡종지</t>
        </is>
      </c>
      <c r="E2630" s="3" t="inlineStr">
        <is>
          <t>매매</t>
        </is>
      </c>
      <c r="F2630" s="4" t="n">
        <v>1510000</v>
      </c>
      <c r="G2630" s="4" t="n">
        <v>8152</v>
      </c>
      <c r="H2630" s="4" t="n">
        <v>2466</v>
      </c>
      <c r="I2630" s="5" t="n">
        <v>612.3</v>
      </c>
      <c r="J2630" s="5" t="n">
        <v>130.5</v>
      </c>
      <c r="K2630" s="3" t="inlineStr">
        <is>
          <t>세종시 북부지역 교통요충지 입지한 토지로 현재 운전학원 운영중</t>
        </is>
      </c>
      <c r="L2630" s="6">
        <f>HYPERLINK("https://fin.land.naver.com/articles/2652042584", "매물Link")</f>
        <v/>
      </c>
      <c r="M2630" s="6">
        <f>HYPERLINK("https://map.naver.com/p/search/전동면 노장리 364", "지도Link")</f>
        <v/>
      </c>
      <c r="N2630" s="6">
        <f>HYPERLINK("http://www.eum.go.kr/web/ar/lu/luLandDet.jsp?pnu=3611038021103640000&amp;isNoScr=script&amp;mode=search", "토지이음")</f>
        <v/>
      </c>
      <c r="O2630" s="3" t="inlineStr">
        <is>
          <t>미스터홈즈강남지사</t>
        </is>
      </c>
      <c r="P2630" s="4" t="n">
        <v>1</v>
      </c>
      <c r="Q2630" s="4" t="n">
        <v>6562</v>
      </c>
      <c r="R2630" s="3" t="inlineStr">
        <is>
          <t>지정되지않음</t>
        </is>
      </c>
      <c r="S2630" s="3" t="inlineStr">
        <is>
          <t>상업용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소로한면</t>
        </is>
      </c>
    </row>
    <row r="2631">
      <c r="A2631" s="3" t="inlineStr">
        <is>
          <t>전동면 노장리 366-1</t>
        </is>
      </c>
      <c r="B2631" s="3" t="inlineStr">
        <is>
          <t>계획관리지역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59400</v>
      </c>
      <c r="G2631" s="4" t="n">
        <v>1964</v>
      </c>
      <c r="H2631" s="4" t="n">
        <v>594</v>
      </c>
      <c r="I2631" s="5" t="n">
        <v>100</v>
      </c>
      <c r="J2631" s="5" t="n">
        <v>59.9</v>
      </c>
      <c r="K2631" s="3" t="inlineStr">
        <is>
          <t>계획관리지역 답으로 투자가치 좋아요.</t>
        </is>
      </c>
      <c r="L2631" s="6">
        <f>HYPERLINK("https://fin.land.naver.com/articles/2653609053", "매물Link")</f>
        <v/>
      </c>
      <c r="M2631" s="6">
        <f>HYPERLINK("https://map.naver.com/p/search/전동면 노장리 366-1", "지도Link")</f>
        <v/>
      </c>
      <c r="N2631" s="6">
        <f>HYPERLINK("http://www.eum.go.kr/web/ar/lu/luLandDet.jsp?pnu=3611038021103660001&amp;isNoScr=script&amp;mode=search", "토지이음")</f>
        <v/>
      </c>
      <c r="O2631" s="3" t="inlineStr">
        <is>
          <t>마마</t>
        </is>
      </c>
      <c r="P2631" s="4" t="n">
        <v>1</v>
      </c>
      <c r="Q2631" s="4" t="n">
        <v>1964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노장리 382-1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43400</v>
      </c>
      <c r="G2632" s="4" t="n">
        <v>1795</v>
      </c>
      <c r="H2632" s="4" t="n">
        <v>543</v>
      </c>
      <c r="I2632" s="5" t="n">
        <v>79.90000000000001</v>
      </c>
      <c r="J2632" s="5" t="n">
        <v>28</v>
      </c>
      <c r="K2632" s="3" t="inlineStr">
        <is>
          <t>nan</t>
        </is>
      </c>
      <c r="L2632" s="6">
        <f>HYPERLINK("https://fin.land.naver.com/articles/2654164563", "매물Link")</f>
        <v/>
      </c>
      <c r="M2632" s="6">
        <f>HYPERLINK("https://map.naver.com/p/search/전동면 노장리 382-1", "지도Link")</f>
        <v/>
      </c>
      <c r="N2632" s="6">
        <f>HYPERLINK("http://www.eum.go.kr/web/ar/lu/luLandDet.jsp?pnu=3611038021103820001&amp;isNoScr=script&amp;mode=search", "토지이음")</f>
        <v/>
      </c>
      <c r="O2632" s="3" t="inlineStr">
        <is>
          <t>마마</t>
        </is>
      </c>
      <c r="P2632" s="4" t="n">
        <v>1</v>
      </c>
      <c r="Q2632" s="4" t="n">
        <v>1795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노장리 471-1</t>
        </is>
      </c>
      <c r="B2633" s="3" t="inlineStr">
        <is>
          <t>보전관리지역</t>
        </is>
      </c>
      <c r="C2633" s="3" t="inlineStr">
        <is>
          <t>제방</t>
        </is>
      </c>
      <c r="D2633" s="3" t="inlineStr">
        <is>
          <t>답</t>
        </is>
      </c>
      <c r="E2633" s="3" t="inlineStr">
        <is>
          <t>매매</t>
        </is>
      </c>
      <c r="F2633" s="4" t="n">
        <v>37750</v>
      </c>
      <c r="G2633" s="4" t="n">
        <v>500</v>
      </c>
      <c r="H2633" s="4" t="n">
        <v>151</v>
      </c>
      <c r="I2633" s="5" t="n">
        <v>250</v>
      </c>
      <c r="J2633" s="5" t="n">
        <v>18</v>
      </c>
      <c r="K2633" s="3" t="inlineStr">
        <is>
          <t>전동일반산업단지 바로 옆 2차선 대로변</t>
        </is>
      </c>
      <c r="L2633" s="6">
        <f>HYPERLINK("https://fin.land.naver.com/articles/2652110670", "매물Link")</f>
        <v/>
      </c>
      <c r="M2633" s="6">
        <f>HYPERLINK("https://map.naver.com/p/search/전동면 노장리 471-1", "지도Link")</f>
        <v/>
      </c>
      <c r="N2633" s="6">
        <f>HYPERLINK("http://www.eum.go.kr/web/ar/lu/luLandDet.jsp?pnu=3611038021104710001&amp;isNoScr=script&amp;mode=search", "토지이음")</f>
        <v/>
      </c>
      <c r="O2633" s="3" t="inlineStr">
        <is>
          <t>자이</t>
        </is>
      </c>
      <c r="P2633" s="4" t="n">
        <v>1</v>
      </c>
      <c r="Q2633" s="4" t="n">
        <v>500</v>
      </c>
      <c r="R2633" s="3" t="inlineStr">
        <is>
          <t>지정되지않음</t>
        </is>
      </c>
      <c r="S2633" s="3" t="inlineStr">
        <is>
          <t>하천등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지정되지않음</t>
        </is>
      </c>
    </row>
    <row r="2634">
      <c r="A2634" s="3" t="inlineStr">
        <is>
          <t>전동면 노장리 471-4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189000</v>
      </c>
      <c r="G2634" s="4" t="n">
        <v>2500</v>
      </c>
      <c r="H2634" s="4" t="n">
        <v>756</v>
      </c>
      <c r="I2634" s="5" t="n">
        <v>250</v>
      </c>
      <c r="J2634" s="5" t="n">
        <v>44.3</v>
      </c>
      <c r="K2634" s="3" t="inlineStr">
        <is>
          <t>전동일반산업단지 바로 옆 2차선 대로변</t>
        </is>
      </c>
      <c r="L2634" s="6">
        <f>HYPERLINK("https://fin.land.naver.com/articles/2652110210", "매물Link")</f>
        <v/>
      </c>
      <c r="M2634" s="6">
        <f>HYPERLINK("https://map.naver.com/p/search/전동면 노장리 471-4", "지도Link")</f>
        <v/>
      </c>
      <c r="N2634" s="6">
        <f>HYPERLINK("http://www.eum.go.kr/web/ar/lu/luLandDet.jsp?pnu=3611038021104710004&amp;isNoScr=script&amp;mode=search", "토지이음")</f>
        <v/>
      </c>
      <c r="O2634" s="3" t="inlineStr">
        <is>
          <t>자이</t>
        </is>
      </c>
      <c r="P2634" s="4" t="n">
        <v>1</v>
      </c>
      <c r="Q2634" s="4" t="n">
        <v>2500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노장리 474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300000</v>
      </c>
      <c r="G2635" s="4" t="n">
        <v>7560</v>
      </c>
      <c r="H2635" s="4" t="n">
        <v>2287</v>
      </c>
      <c r="I2635" s="5" t="n">
        <v>131.2</v>
      </c>
      <c r="J2635" s="5" t="n">
        <v>30.4</v>
      </c>
      <c r="K2635" s="3" t="inlineStr">
        <is>
          <t>전동면 노장리 계획관리지역으로 공장,창고하기 적합한 토지임</t>
        </is>
      </c>
      <c r="L2635" s="6">
        <f>HYPERLINK("https://fin.land.naver.com/articles/2651708302", "매물Link")</f>
        <v/>
      </c>
      <c r="M2635" s="6">
        <f>HYPERLINK("https://map.naver.com/p/search/전동면 노장리 474", "지도Link")</f>
        <v/>
      </c>
      <c r="N2635" s="6">
        <f>HYPERLINK("http://www.eum.go.kr/web/ar/lu/luLandDet.jsp?pnu=3611038021104740000&amp;isNoScr=script&amp;mode=search", "토지이음")</f>
        <v/>
      </c>
      <c r="O2635" s="3" t="inlineStr">
        <is>
          <t>OK수</t>
        </is>
      </c>
      <c r="P2635" s="4" t="n">
        <v>1</v>
      </c>
      <c r="Q2635" s="4" t="n">
        <v>5448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노장리 512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150000</v>
      </c>
      <c r="G2636" s="4" t="n">
        <v>3404</v>
      </c>
      <c r="H2636" s="4" t="n">
        <v>1030</v>
      </c>
      <c r="I2636" s="5" t="n">
        <v>145.6</v>
      </c>
      <c r="J2636" s="5" t="n">
        <v>73</v>
      </c>
      <c r="K2636" s="3" t="inlineStr">
        <is>
          <t>전동면 2차선 도로변에 접한 계획관리지역 토지 매매</t>
        </is>
      </c>
      <c r="L2636" s="6">
        <f>HYPERLINK("https://fin.land.naver.com/articles/2653390861", "매물Link")</f>
        <v/>
      </c>
      <c r="M2636" s="6">
        <f>HYPERLINK("https://map.naver.com/p/search/전동면 노장리 512", "지도Link")</f>
        <v/>
      </c>
      <c r="N2636" s="6">
        <f>HYPERLINK("http://www.eum.go.kr/web/ar/lu/luLandDet.jsp?pnu=3611038021105120000&amp;isNoScr=script&amp;mode=search", "토지이음")</f>
        <v/>
      </c>
      <c r="O2636" s="3" t="inlineStr">
        <is>
          <t>대지</t>
        </is>
      </c>
      <c r="P2636" s="4" t="n">
        <v>1</v>
      </c>
      <c r="Q2636" s="4" t="n">
        <v>996</v>
      </c>
      <c r="R2636" s="3" t="inlineStr">
        <is>
          <t>지정되지않음</t>
        </is>
      </c>
      <c r="S2636" s="3" t="inlineStr">
        <is>
          <t>공업용</t>
        </is>
      </c>
      <c r="T2636" s="3" t="inlineStr">
        <is>
          <t>평지</t>
        </is>
      </c>
      <c r="U2636" s="3" t="inlineStr">
        <is>
          <t>사다리형</t>
        </is>
      </c>
      <c r="V2636" s="3" t="inlineStr">
        <is>
          <t>소로한면</t>
        </is>
      </c>
    </row>
    <row r="2637">
      <c r="A2637" s="3" t="inlineStr">
        <is>
          <t>전동면 노장리 651-7</t>
        </is>
      </c>
      <c r="B2637" s="3" t="inlineStr">
        <is>
          <t>계획관리지역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261000</v>
      </c>
      <c r="G2637" s="4" t="n">
        <v>1233</v>
      </c>
      <c r="H2637" s="4" t="n">
        <v>373</v>
      </c>
      <c r="I2637" s="5" t="n">
        <v>699.7</v>
      </c>
      <c r="J2637" s="5" t="n">
        <v>78.7</v>
      </c>
      <c r="K2637" s="3" t="inlineStr">
        <is>
          <t>전동 삼거리 코너각지 토지매매</t>
        </is>
      </c>
      <c r="L2637" s="6">
        <f>HYPERLINK("https://fin.land.naver.com/articles/2655078913", "매물Link")</f>
        <v/>
      </c>
      <c r="M2637" s="6">
        <f>HYPERLINK("https://map.naver.com/p/search/전동면 노장리 651-7", "지도Link")</f>
        <v/>
      </c>
      <c r="N2637" s="6">
        <f>HYPERLINK("http://www.eum.go.kr/web/ar/lu/luLandDet.jsp?pnu=3611038021106510007&amp;isNoScr=script&amp;mode=search", "토지이음")</f>
        <v/>
      </c>
      <c r="O2637" s="3" t="inlineStr">
        <is>
          <t>엄지척</t>
        </is>
      </c>
      <c r="P2637" s="4" t="n">
        <v>1</v>
      </c>
      <c r="Q2637" s="4" t="n">
        <v>1119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중로각지</t>
        </is>
      </c>
    </row>
    <row r="2638">
      <c r="A2638" s="3" t="inlineStr">
        <is>
          <t>전동면 노장리 661-8</t>
        </is>
      </c>
      <c r="B2638" s="3" t="inlineStr">
        <is>
          <t>보전관리지역</t>
        </is>
      </c>
      <c r="C2638" s="3" t="inlineStr">
        <is>
          <t>공장용지</t>
        </is>
      </c>
      <c r="D2638" s="3" t="inlineStr">
        <is>
          <t>공장용지</t>
        </is>
      </c>
      <c r="E2638" s="3" t="inlineStr">
        <is>
          <t>매매</t>
        </is>
      </c>
      <c r="F2638" s="4" t="n">
        <v>80000</v>
      </c>
      <c r="G2638" s="4" t="n">
        <v>966</v>
      </c>
      <c r="H2638" s="4" t="n">
        <v>292</v>
      </c>
      <c r="I2638" s="5" t="n">
        <v>274</v>
      </c>
      <c r="J2638" s="5" t="n">
        <v>53.9</v>
      </c>
      <c r="K2638" s="3" t="inlineStr">
        <is>
          <t>전동역과 전동산업단지에 근접하고 2차선도로에 접한 창고,상가 등 최상</t>
        </is>
      </c>
      <c r="L2638" s="6">
        <f>HYPERLINK("https://fin.land.naver.com/articles/2654228214", "매물Link")</f>
        <v/>
      </c>
      <c r="M2638" s="6">
        <f>HYPERLINK("https://map.naver.com/p/search/전동면 노장리 661-8", "지도Link")</f>
        <v/>
      </c>
      <c r="N2638" s="6">
        <f>HYPERLINK("http://www.eum.go.kr/web/ar/lu/luLandDet.jsp?pnu=3611038021106610008&amp;isNoScr=script&amp;mode=search", "토지이음")</f>
        <v/>
      </c>
      <c r="O2638" s="3" t="inlineStr">
        <is>
          <t>온누리</t>
        </is>
      </c>
      <c r="P2638" s="4" t="n">
        <v>2</v>
      </c>
      <c r="Q2638" s="4" t="n">
        <v>966</v>
      </c>
      <c r="R2638" s="3" t="inlineStr">
        <is>
          <t>지정되지않음</t>
        </is>
      </c>
      <c r="S2638" s="3" t="inlineStr">
        <is>
          <t>공업용</t>
        </is>
      </c>
      <c r="T2638" s="3" t="inlineStr">
        <is>
          <t>평지</t>
        </is>
      </c>
      <c r="U2638" s="3" t="inlineStr">
        <is>
          <t>사다리형</t>
        </is>
      </c>
      <c r="V2638" s="3" t="inlineStr">
        <is>
          <t>소로한면</t>
        </is>
      </c>
    </row>
    <row r="2639">
      <c r="A2639" s="3" t="inlineStr">
        <is>
          <t>전동면 노장리 661-8</t>
        </is>
      </c>
      <c r="B2639" s="3" t="inlineStr">
        <is>
          <t>보전관리지역</t>
        </is>
      </c>
      <c r="C2639" s="3" t="inlineStr">
        <is>
          <t>공장용지</t>
        </is>
      </c>
      <c r="D2639" s="3" t="inlineStr">
        <is>
          <t>공장용지</t>
        </is>
      </c>
      <c r="E2639" s="3" t="inlineStr">
        <is>
          <t>매매</t>
        </is>
      </c>
      <c r="F2639" s="4" t="n">
        <v>146000</v>
      </c>
      <c r="G2639" s="4" t="n">
        <v>966</v>
      </c>
      <c r="H2639" s="4" t="n">
        <v>292</v>
      </c>
      <c r="I2639" s="5" t="n">
        <v>500</v>
      </c>
      <c r="J2639" s="5" t="n">
        <v>53.9</v>
      </c>
      <c r="K2639" s="3" t="inlineStr">
        <is>
          <t>도로접, 연접.분할매도 가능, 투자가치상승</t>
        </is>
      </c>
      <c r="L2639" s="6">
        <f>HYPERLINK("https://fin.land.naver.com/articles/2652384856", "매물Link")</f>
        <v/>
      </c>
      <c r="M2639" s="6">
        <f>HYPERLINK("https://map.naver.com/p/search/전동면 노장리 661-8", "지도Link")</f>
        <v/>
      </c>
      <c r="N2639" s="6">
        <f>HYPERLINK("http://www.eum.go.kr/web/ar/lu/luLandDet.jsp?pnu=3611038021106610008&amp;isNoScr=script&amp;mode=search", "토지이음")</f>
        <v/>
      </c>
      <c r="O2639" s="3" t="inlineStr">
        <is>
          <t>큰길</t>
        </is>
      </c>
      <c r="P2639" s="4" t="n">
        <v>1</v>
      </c>
      <c r="Q2639" s="4" t="n">
        <v>966</v>
      </c>
      <c r="R2639" s="3" t="inlineStr">
        <is>
          <t>지정되지않음</t>
        </is>
      </c>
      <c r="S2639" s="3" t="inlineStr">
        <is>
          <t>공업용</t>
        </is>
      </c>
      <c r="T2639" s="3" t="inlineStr">
        <is>
          <t>평지</t>
        </is>
      </c>
      <c r="U2639" s="3" t="inlineStr">
        <is>
          <t>사다리형</t>
        </is>
      </c>
      <c r="V2639" s="3" t="inlineStr">
        <is>
          <t>소로한면</t>
        </is>
      </c>
    </row>
    <row r="2640">
      <c r="A2640" s="3" t="inlineStr">
        <is>
          <t>전동면 노장리 661-9</t>
        </is>
      </c>
      <c r="B2640" s="3" t="inlineStr">
        <is>
          <t>보전관리지역</t>
        </is>
      </c>
      <c r="C2640" s="3" t="inlineStr">
        <is>
          <t>공장용지</t>
        </is>
      </c>
      <c r="D2640" s="3" t="inlineStr">
        <is>
          <t>공장용지</t>
        </is>
      </c>
      <c r="E2640" s="3" t="inlineStr">
        <is>
          <t>매매</t>
        </is>
      </c>
      <c r="F2640" s="4" t="n">
        <v>249000</v>
      </c>
      <c r="G2640" s="4" t="n">
        <v>1648</v>
      </c>
      <c r="H2640" s="4" t="n">
        <v>499</v>
      </c>
      <c r="I2640" s="5" t="n">
        <v>499</v>
      </c>
      <c r="J2640" s="5" t="n">
        <v>51.2</v>
      </c>
      <c r="K2640" s="3" t="inlineStr">
        <is>
          <t>도로접, 상승가치있는 땅, 연접매매, 분할등 가능</t>
        </is>
      </c>
      <c r="L2640" s="6">
        <f>HYPERLINK("https://fin.land.naver.com/articles/2652384536", "매물Link")</f>
        <v/>
      </c>
      <c r="M2640" s="6">
        <f>HYPERLINK("https://map.naver.com/p/search/전동면 노장리 661-9", "지도Link")</f>
        <v/>
      </c>
      <c r="N2640" s="6">
        <f>HYPERLINK("http://www.eum.go.kr/web/ar/lu/luLandDet.jsp?pnu=3611038021106610009&amp;isNoScr=script&amp;mode=search", "토지이음")</f>
        <v/>
      </c>
      <c r="O2640" s="3" t="inlineStr">
        <is>
          <t>큰길</t>
        </is>
      </c>
      <c r="P2640" s="4" t="n">
        <v>1</v>
      </c>
      <c r="Q2640" s="4" t="n">
        <v>1648</v>
      </c>
      <c r="R2640" s="3" t="inlineStr">
        <is>
          <t>지정되지않음</t>
        </is>
      </c>
      <c r="S2640" s="3" t="inlineStr">
        <is>
          <t>공업용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소로한면</t>
        </is>
      </c>
    </row>
    <row r="2641">
      <c r="A2641" s="3" t="inlineStr">
        <is>
          <t>전동면 노장리 산109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25000</v>
      </c>
      <c r="G2641" s="4" t="n">
        <v>53000</v>
      </c>
      <c r="H2641" s="4" t="n">
        <v>16032</v>
      </c>
      <c r="I2641" s="5" t="n">
        <v>1.6</v>
      </c>
      <c r="J2641" s="5" t="n">
        <v>2</v>
      </c>
      <c r="K2641" s="3" t="inlineStr">
        <is>
          <t>임업용 도로가 있어 약초 및 버섯 등을 재배할 수 있는 초 저렴한 임야</t>
        </is>
      </c>
      <c r="L2641" s="6">
        <f>HYPERLINK("https://fin.land.naver.com/articles/2656232195", "매물Link")</f>
        <v/>
      </c>
      <c r="M2641" s="6">
        <f>HYPERLINK("https://map.naver.com/p/search/전동면 노장리 산109", "지도Link")</f>
        <v/>
      </c>
      <c r="N2641" s="6">
        <f>HYPERLINK("http://www.eum.go.kr/web/ar/lu/luLandDet.jsp?pnu=3611038021201090000&amp;isNoScr=script&amp;mode=search",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72694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세로한면(불)</t>
        </is>
      </c>
    </row>
    <row r="2642">
      <c r="A2642" s="3" t="inlineStr">
        <is>
          <t>전동면 노장리 산96-2</t>
        </is>
      </c>
      <c r="B2642" s="3" t="inlineStr">
        <is>
          <t>계획관리지역</t>
        </is>
      </c>
      <c r="C2642" s="3" t="inlineStr">
        <is>
          <t>임야</t>
        </is>
      </c>
      <c r="D2642" s="3" t="inlineStr">
        <is>
          <t>임야</t>
        </is>
      </c>
      <c r="E2642" s="3" t="inlineStr">
        <is>
          <t>매매</t>
        </is>
      </c>
      <c r="F2642" s="4" t="n">
        <v>93120</v>
      </c>
      <c r="G2642" s="4" t="n">
        <v>3848</v>
      </c>
      <c r="H2642" s="4" t="n">
        <v>1164</v>
      </c>
      <c r="I2642" s="5" t="n">
        <v>80</v>
      </c>
      <c r="J2642" s="5" t="n">
        <v>5.1</v>
      </c>
      <c r="K2642" s="3" t="inlineStr">
        <is>
          <t>전동일반산업단지 인접 계획관리 임야매매</t>
        </is>
      </c>
      <c r="L2642" s="6">
        <f>HYPERLINK("https://fin.land.naver.com/articles/2652109828", "매물Link")</f>
        <v/>
      </c>
      <c r="M2642" s="6">
        <f>HYPERLINK("https://map.naver.com/p/search/전동면 노장리 산96-2", "지도Link")</f>
        <v/>
      </c>
      <c r="N2642" s="6">
        <f>HYPERLINK("http://www.eum.go.kr/web/ar/lu/luLandDet.jsp?pnu=3611038021200960002&amp;isNoScr=script&amp;mode=search",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3848</v>
      </c>
      <c r="R2642" s="3" t="inlineStr">
        <is>
          <t>농림지역</t>
        </is>
      </c>
      <c r="S2642" s="3" t="inlineStr">
        <is>
          <t>자연림</t>
        </is>
      </c>
      <c r="T2642" s="3" t="inlineStr">
        <is>
          <t>급경사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미곡리 123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75000</v>
      </c>
      <c r="G2643" s="4" t="n">
        <v>3990</v>
      </c>
      <c r="H2643" s="4" t="n">
        <v>1207</v>
      </c>
      <c r="I2643" s="5" t="n">
        <v>62.1</v>
      </c>
      <c r="J2643" s="5" t="n">
        <v>13.8</v>
      </c>
      <c r="K2643" s="3" t="inlineStr">
        <is>
          <t>대토용,가격조정가능</t>
        </is>
      </c>
      <c r="L2643" s="6">
        <f>HYPERLINK("https://fin.land.naver.com/articles/2653703885", "매물Link")</f>
        <v/>
      </c>
      <c r="M2643" s="6">
        <f>HYPERLINK("https://map.naver.com/p/search/전동면 미곡리 123", "지도Link")</f>
        <v/>
      </c>
      <c r="N2643" s="6">
        <f>HYPERLINK("http://www.eum.go.kr/web/ar/lu/luLandDet.jsp?pnu=3611038029101230000&amp;isNoScr=script&amp;mode=search", "토지이음")</f>
        <v/>
      </c>
      <c r="O2643" s="3" t="inlineStr">
        <is>
          <t>지원</t>
        </is>
      </c>
      <c r="P2643" s="4" t="n">
        <v>1</v>
      </c>
      <c r="Q2643" s="4" t="n">
        <v>3990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미곡리 243</t>
        </is>
      </c>
      <c r="B2644" s="3" t="inlineStr">
        <is>
          <t>생산관리지역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8000</v>
      </c>
      <c r="G2644" s="4" t="n">
        <v>1385</v>
      </c>
      <c r="H2644" s="4" t="n">
        <v>419</v>
      </c>
      <c r="I2644" s="5" t="n">
        <v>19.1</v>
      </c>
      <c r="J2644" s="5" t="n">
        <v>19</v>
      </c>
      <c r="K2644" s="3" t="inlineStr">
        <is>
          <t>현재 과일 농사중인 토지입니다. 관심 있으신 분들 전화주세요</t>
        </is>
      </c>
      <c r="L2644" s="6">
        <f>HYPERLINK("https://fin.land.naver.com/articles/2652128795", "매물Link")</f>
        <v/>
      </c>
      <c r="M2644" s="6">
        <f>HYPERLINK("https://map.naver.com/p/search/전동면 미곡리 243", "지도Link")</f>
        <v/>
      </c>
      <c r="N2644" s="6">
        <f>HYPERLINK("http://www.eum.go.kr/web/ar/lu/luLandDet.jsp?pnu=3611038029102430000&amp;isNoScr=script&amp;mode=search", "토지이음")</f>
        <v/>
      </c>
      <c r="O2644" s="3" t="inlineStr">
        <is>
          <t>보람</t>
        </is>
      </c>
      <c r="P2644" s="4" t="n">
        <v>1</v>
      </c>
      <c r="Q2644" s="4" t="n">
        <v>1385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미곡리 252-2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224000</v>
      </c>
      <c r="G2645" s="4" t="n">
        <v>7415</v>
      </c>
      <c r="H2645" s="4" t="n">
        <v>2243</v>
      </c>
      <c r="I2645" s="5" t="n">
        <v>99.90000000000001</v>
      </c>
      <c r="J2645" s="5" t="n">
        <v>21.8</v>
      </c>
      <c r="K2645" s="3" t="inlineStr">
        <is>
          <t>남풍세ic 10분 공장 물류 창고용지로 적합</t>
        </is>
      </c>
      <c r="L2645" s="6">
        <f>HYPERLINK("https://fin.land.naver.com/articles/2653269338", "매물Link")</f>
        <v/>
      </c>
      <c r="M2645" s="6">
        <f>HYPERLINK("https://map.naver.com/p/search/전동면 미곡리 252-2", "지도Link")</f>
        <v/>
      </c>
      <c r="N2645" s="6">
        <f>HYPERLINK("http://www.eum.go.kr/web/ar/lu/luLandDet.jsp?pnu=3611038029102520002&amp;isNoScr=script&amp;mode=search", "토지이음")</f>
        <v/>
      </c>
      <c r="O2645" s="3" t="inlineStr">
        <is>
          <t>프로</t>
        </is>
      </c>
      <c r="P2645" s="4" t="n">
        <v>1</v>
      </c>
      <c r="Q2645" s="4" t="n">
        <v>7415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급경사</t>
        </is>
      </c>
      <c r="U2645" s="3" t="inlineStr">
        <is>
          <t>부정형</t>
        </is>
      </c>
      <c r="V2645" s="3" t="inlineStr">
        <is>
          <t>소로한면</t>
        </is>
      </c>
    </row>
    <row r="2646">
      <c r="A2646" s="3" t="inlineStr">
        <is>
          <t>전동면 미곡리 268-2</t>
        </is>
      </c>
      <c r="B2646" s="3" t="inlineStr">
        <is>
          <t>농림지역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25000</v>
      </c>
      <c r="G2646" s="4" t="n">
        <v>1382</v>
      </c>
      <c r="H2646" s="4" t="n">
        <v>418</v>
      </c>
      <c r="I2646" s="5" t="n">
        <v>59.8</v>
      </c>
      <c r="J2646" s="5" t="n">
        <v>14.4</v>
      </c>
      <c r="K2646" s="3" t="inlineStr">
        <is>
          <t>세종시 2억대 전동면토지 농업경영체등록 가능</t>
        </is>
      </c>
      <c r="L2646" s="6">
        <f>HYPERLINK("https://fin.land.naver.com/articles/2652494848", "매물Link")</f>
        <v/>
      </c>
      <c r="M2646" s="6">
        <f>HYPERLINK("https://map.naver.com/p/search/전동면 미곡리 268-2", "지도Link")</f>
        <v/>
      </c>
      <c r="N2646" s="6">
        <f>HYPERLINK("http://www.eum.go.kr/web/ar/lu/luLandDet.jsp?pnu=3611038029102680002&amp;isNoScr=script&amp;mode=search", "토지이음")</f>
        <v/>
      </c>
      <c r="O2646" s="3" t="inlineStr">
        <is>
          <t>지성</t>
        </is>
      </c>
      <c r="P2646" s="4" t="n">
        <v>1</v>
      </c>
      <c r="Q2646" s="4" t="n">
        <v>1442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전동면 미곡리 269-3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98700</v>
      </c>
      <c r="G2647" s="4" t="n">
        <v>2176</v>
      </c>
      <c r="H2647" s="4" t="n">
        <v>658</v>
      </c>
      <c r="I2647" s="5" t="n">
        <v>150</v>
      </c>
      <c r="J2647" s="5" t="n">
        <v>17.3</v>
      </c>
      <c r="K2647" s="3" t="inlineStr">
        <is>
          <t>nan</t>
        </is>
      </c>
      <c r="L2647" s="6">
        <f>HYPERLINK("https://fin.land.naver.com/articles/2655169095", "매물Link")</f>
        <v/>
      </c>
      <c r="M2647" s="6">
        <f>HYPERLINK("https://map.naver.com/p/search/전동면 미곡리 269-3", "지도Link")</f>
        <v/>
      </c>
      <c r="N2647" s="6">
        <f>HYPERLINK("http://www.eum.go.kr/web/ar/lu/luLandDet.jsp?pnu=3611038029102690003&amp;isNoScr=script&amp;mode=search", "토지이음")</f>
        <v/>
      </c>
      <c r="O2647" s="3" t="inlineStr">
        <is>
          <t>오송랜드</t>
        </is>
      </c>
      <c r="P2647" s="4" t="n">
        <v>3</v>
      </c>
      <c r="Q2647" s="4" t="n">
        <v>2176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소로각지</t>
        </is>
      </c>
    </row>
    <row r="2648">
      <c r="A2648" s="3" t="inlineStr">
        <is>
          <t>전동면 미곡리 271-1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55800</v>
      </c>
      <c r="G2648" s="4" t="n">
        <v>2464</v>
      </c>
      <c r="H2648" s="4" t="n">
        <v>745</v>
      </c>
      <c r="I2648" s="5" t="n">
        <v>74.90000000000001</v>
      </c>
      <c r="J2648" s="5" t="n">
        <v>14.8</v>
      </c>
      <c r="K2648" s="3" t="inlineStr">
        <is>
          <t>농림지역,  전.답 2필지</t>
        </is>
      </c>
      <c r="L2648" s="6">
        <f>HYPERLINK("https://fin.land.naver.com/articles/2654907066", "매물Link")</f>
        <v/>
      </c>
      <c r="M2648" s="6">
        <f>HYPERLINK("https://map.naver.com/p/search/전동면 미곡리 271-1", "지도Link")</f>
        <v/>
      </c>
      <c r="N2648" s="6">
        <f>HYPERLINK("http://www.eum.go.kr/web/ar/lu/luLandDet.jsp?pnu=3611038029102710001&amp;isNoScr=script&amp;mode=search", "토지이음")</f>
        <v/>
      </c>
      <c r="O2648" s="3" t="inlineStr">
        <is>
          <t>삼성동문단지내</t>
        </is>
      </c>
      <c r="P2648" s="4" t="n">
        <v>1</v>
      </c>
      <c r="Q2648" s="4" t="n">
        <v>2051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미곡리 271-3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29000</v>
      </c>
      <c r="G2649" s="4" t="n">
        <v>2277</v>
      </c>
      <c r="H2649" s="4" t="n">
        <v>689</v>
      </c>
      <c r="I2649" s="5" t="n">
        <v>42.1</v>
      </c>
      <c r="J2649" s="5" t="n">
        <v>16.9</v>
      </c>
      <c r="K2649" s="3" t="inlineStr">
        <is>
          <t>도로접한 저렴한 농지, 농업진흘구역</t>
        </is>
      </c>
      <c r="L2649" s="6">
        <f>HYPERLINK("https://fin.land.naver.com/articles/2652046257", "매물Link")</f>
        <v/>
      </c>
      <c r="M2649" s="6">
        <f>HYPERLINK("https://map.naver.com/p/search/전동면 미곡리 271-3", "지도Link")</f>
        <v/>
      </c>
      <c r="N2649" s="6">
        <f>HYPERLINK("http://www.eum.go.kr/web/ar/lu/luLandDet.jsp?pnu=3611038029102710003&amp;isNoScr=script&amp;mode=search",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1230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미곡리 328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83000</v>
      </c>
      <c r="G2650" s="4" t="n">
        <v>3908</v>
      </c>
      <c r="H2650" s="4" t="n">
        <v>1182</v>
      </c>
      <c r="I2650" s="5" t="n">
        <v>70.2</v>
      </c>
      <c r="J2650" s="5" t="n">
        <v>16.9</v>
      </c>
      <c r="K2650" s="3" t="inlineStr">
        <is>
          <t>328번지외1필지   2차선도로접함.</t>
        </is>
      </c>
      <c r="L2650" s="6">
        <f>HYPERLINK("https://fin.land.naver.com/articles/2654180423", "매물Link")</f>
        <v/>
      </c>
      <c r="M2650" s="6">
        <f>HYPERLINK("https://map.naver.com/p/search/전동면 미곡리 328", "지도Link")</f>
        <v/>
      </c>
      <c r="N2650" s="6">
        <f>HYPERLINK("http://www.eum.go.kr/web/ar/lu/luLandDet.jsp?pnu=3611038029103280000&amp;isNoScr=script&amp;mode=search", "토지이음")</f>
        <v/>
      </c>
      <c r="O2650" s="3" t="inlineStr">
        <is>
          <t>현대랜드</t>
        </is>
      </c>
      <c r="P2650" s="4" t="n">
        <v>1</v>
      </c>
      <c r="Q2650" s="4" t="n">
        <v>2476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미곡리 337-4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44520</v>
      </c>
      <c r="G2651" s="4" t="n">
        <v>2453</v>
      </c>
      <c r="H2651" s="4" t="n">
        <v>742</v>
      </c>
      <c r="I2651" s="5" t="n">
        <v>60</v>
      </c>
      <c r="J2651" s="5" t="n">
        <v>15.2</v>
      </c>
      <c r="K2651" s="3" t="inlineStr">
        <is>
          <t>2차선 계획도로 접 길이 뚫리면 돈이 보인다 벤처벨리 수혜지역</t>
        </is>
      </c>
      <c r="L2651" s="6">
        <f>HYPERLINK("https://fin.land.naver.com/articles/2654652362", "매물Link")</f>
        <v/>
      </c>
      <c r="M2651" s="6">
        <f>HYPERLINK("https://map.naver.com/p/search/전동면 미곡리 337-4", "지도Link")</f>
        <v/>
      </c>
      <c r="N2651" s="6">
        <f>HYPERLINK("http://www.eum.go.kr/web/ar/lu/luLandDet.jsp?pnu=3611038029103370004&amp;isNoScr=script&amp;mode=search", "토지이음")</f>
        <v/>
      </c>
      <c r="O2651" s="3" t="inlineStr">
        <is>
          <t>찬스</t>
        </is>
      </c>
      <c r="P2651" s="4" t="n">
        <v>1</v>
      </c>
      <c r="Q2651" s="4" t="n">
        <v>2453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미곡리 399</t>
        </is>
      </c>
      <c r="B2652" s="3" t="inlineStr">
        <is>
          <t>농림지역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12000</v>
      </c>
      <c r="G2652" s="4" t="n">
        <v>648</v>
      </c>
      <c r="H2652" s="4" t="n">
        <v>196</v>
      </c>
      <c r="I2652" s="5" t="n">
        <v>61.2</v>
      </c>
      <c r="J2652" s="5" t="n">
        <v>15.5</v>
      </c>
      <c r="K2652" s="3" t="inlineStr">
        <is>
          <t>1번국도바로 옆 접근성 좋은 토지 매매</t>
        </is>
      </c>
      <c r="L2652" s="6">
        <f>HYPERLINK("https://fin.land.naver.com/articles/2653626803", "매물Link")</f>
        <v/>
      </c>
      <c r="M2652" s="6">
        <f>HYPERLINK("https://map.naver.com/p/search/전동면 미곡리 399", "지도Link")</f>
        <v/>
      </c>
      <c r="N2652" s="6">
        <f>HYPERLINK("http://www.eum.go.kr/web/ar/lu/luLandDet.jsp?pnu=3611038029103990000&amp;isNoScr=script&amp;mode=search", "토지이음")</f>
        <v/>
      </c>
      <c r="O2652" s="3" t="inlineStr">
        <is>
          <t>드림사무소</t>
        </is>
      </c>
      <c r="P2652" s="4" t="n">
        <v>1</v>
      </c>
      <c r="Q2652" s="4" t="n">
        <v>648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미곡리 429-10</t>
        </is>
      </c>
      <c r="B2653" s="3" t="inlineStr">
        <is>
          <t>보전관리지역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97000</v>
      </c>
      <c r="G2653" s="4" t="n">
        <v>12896</v>
      </c>
      <c r="H2653" s="4" t="n">
        <v>3901</v>
      </c>
      <c r="I2653" s="5" t="n">
        <v>24.9</v>
      </c>
      <c r="J2653" s="5" t="n">
        <v>6.3</v>
      </c>
      <c r="K2653" s="3" t="inlineStr">
        <is>
          <t>세종시 1번 국도변에서 잘 보이는 곳으로 광고효과 우수</t>
        </is>
      </c>
      <c r="L2653" s="6">
        <f>HYPERLINK("https://fin.land.naver.com/articles/2654741633", "매물Link")</f>
        <v/>
      </c>
      <c r="M2653" s="6">
        <f>HYPERLINK("https://map.naver.com/p/search/전동면 미곡리 429-10", "지도Link")</f>
        <v/>
      </c>
      <c r="N2653" s="6">
        <f>HYPERLINK("http://www.eum.go.kr/web/ar/lu/luLandDet.jsp?pnu=3611038029104290010&amp;isNoScr=script&amp;mode=search", "토지이음")</f>
        <v/>
      </c>
      <c r="O2653" s="3" t="inlineStr">
        <is>
          <t>창고의여왕</t>
        </is>
      </c>
      <c r="P2653" s="4" t="n">
        <v>2</v>
      </c>
      <c r="Q2653" s="4" t="n">
        <v>12896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미곡리 468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6000</v>
      </c>
      <c r="G2654" s="4" t="n">
        <v>638</v>
      </c>
      <c r="H2654" s="4" t="n">
        <v>193</v>
      </c>
      <c r="I2654" s="5" t="n">
        <v>31.1</v>
      </c>
      <c r="J2654" s="5" t="n">
        <v>11.9</v>
      </c>
      <c r="K2654" s="3" t="inlineStr">
        <is>
          <t>남향으로 정면 트여있어 주말 갈족쉼터 추천, 가족묘자리로도 괜찮아요</t>
        </is>
      </c>
      <c r="L2654" s="6">
        <f>HYPERLINK("https://fin.land.naver.com/articles/2655744145", "매물Link")</f>
        <v/>
      </c>
      <c r="M2654" s="6">
        <f>HYPERLINK("https://map.naver.com/p/search/전동면 미곡리 468", "지도Link")</f>
        <v/>
      </c>
      <c r="N2654" s="6">
        <f>HYPERLINK("http://www.eum.go.kr/web/ar/lu/luLandDet.jsp?pnu=3611038029104680000&amp;isNoScr=script&amp;mode=search",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638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미곡리 531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20000</v>
      </c>
      <c r="G2655" s="4" t="n">
        <v>2305</v>
      </c>
      <c r="H2655" s="4" t="n">
        <v>697</v>
      </c>
      <c r="I2655" s="5" t="n">
        <v>28.7</v>
      </c>
      <c r="J2655" s="5" t="n">
        <v>12.3</v>
      </c>
      <c r="K2655" s="3" t="inlineStr">
        <is>
          <t>저렴한 농지 스마트 팜 토지 찾으시면 여기 어때요</t>
        </is>
      </c>
      <c r="L2655" s="6">
        <f>HYPERLINK("https://fin.land.naver.com/articles/2654228616", "매물Link")</f>
        <v/>
      </c>
      <c r="M2655" s="6">
        <f>HYPERLINK("https://map.naver.com/p/search/전동면 미곡리 531", "지도Link")</f>
        <v/>
      </c>
      <c r="N2655" s="6">
        <f>HYPERLINK("http://www.eum.go.kr/web/ar/lu/luLandDet.jsp?pnu=3611038029105310000&amp;isNoScr=script&amp;mode=search",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2305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미곡리 544-1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66000</v>
      </c>
      <c r="G2656" s="4" t="n">
        <v>3117</v>
      </c>
      <c r="H2656" s="4" t="n">
        <v>943</v>
      </c>
      <c r="I2656" s="5" t="n">
        <v>70</v>
      </c>
      <c r="J2656" s="5" t="n">
        <v>12</v>
      </c>
      <c r="K2656" s="3" t="inlineStr">
        <is>
          <t>대토환영. 전동면 미곡리 국유지 활용가능한 농지</t>
        </is>
      </c>
      <c r="L2656" s="6">
        <f>HYPERLINK("https://fin.land.naver.com/articles/2652031378", "매물Link")</f>
        <v/>
      </c>
      <c r="M2656" s="6">
        <f>HYPERLINK("https://map.naver.com/p/search/전동면 미곡리 544-1", "지도Link")</f>
        <v/>
      </c>
      <c r="N2656" s="6">
        <f>HYPERLINK("http://www.eum.go.kr/web/ar/lu/luLandDet.jsp?pnu=3611038029105440001&amp;isNoScr=script&amp;mode=search",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3117</v>
      </c>
      <c r="R2656" s="3" t="inlineStr">
        <is>
          <t>보전관리지역</t>
        </is>
      </c>
      <c r="S2656" s="3" t="inlineStr">
        <is>
          <t>답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세로한면(불)</t>
        </is>
      </c>
    </row>
    <row r="2657">
      <c r="A2657" s="3" t="inlineStr">
        <is>
          <t>전동면 미곡리 59</t>
        </is>
      </c>
      <c r="B2657" s="3" t="inlineStr">
        <is>
          <t>생산관리지역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70000</v>
      </c>
      <c r="G2657" s="4" t="n">
        <v>344</v>
      </c>
      <c r="H2657" s="4" t="n">
        <v>104</v>
      </c>
      <c r="I2657" s="5" t="n">
        <v>673.1</v>
      </c>
      <c r="J2657" s="5" t="n">
        <v>29.2</v>
      </c>
      <c r="K2657" s="3" t="inlineStr">
        <is>
          <t>nan</t>
        </is>
      </c>
      <c r="L2657" s="6">
        <f>HYPERLINK("https://fin.land.naver.com/articles/2651575347", "매물Link")</f>
        <v/>
      </c>
      <c r="M2657" s="6">
        <f>HYPERLINK("https://map.naver.com/p/search/전동면 미곡리 59", "지도Link")</f>
        <v/>
      </c>
      <c r="N2657" s="6">
        <f>HYPERLINK("http://www.eum.go.kr/web/ar/lu/luLandDet.jsp?pnu=3611038029100590000&amp;isNoScr=script&amp;mode=search", "토지이음")</f>
        <v/>
      </c>
      <c r="O2657" s="3" t="inlineStr">
        <is>
          <t>세종몽땅</t>
        </is>
      </c>
      <c r="P2657" s="4" t="n">
        <v>1</v>
      </c>
      <c r="Q2657" s="4" t="n">
        <v>660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완경사</t>
        </is>
      </c>
      <c r="U2657" s="3" t="inlineStr">
        <is>
          <t>사다리형</t>
        </is>
      </c>
      <c r="V2657" s="3" t="inlineStr">
        <is>
          <t>세로한면(가)</t>
        </is>
      </c>
    </row>
    <row r="2658">
      <c r="A2658" s="3" t="inlineStr">
        <is>
          <t>전동면 미곡리 74-5</t>
        </is>
      </c>
      <c r="B2658" s="3" t="inlineStr">
        <is>
          <t>생산관리지역</t>
        </is>
      </c>
      <c r="C2658" s="3" t="inlineStr">
        <is>
          <t>답</t>
        </is>
      </c>
      <c r="D2658" s="3" t="inlineStr">
        <is>
          <t>전</t>
        </is>
      </c>
      <c r="E2658" s="3" t="inlineStr">
        <is>
          <t>매매</t>
        </is>
      </c>
      <c r="F2658" s="4" t="n">
        <v>67000</v>
      </c>
      <c r="G2658" s="4" t="n">
        <v>1526</v>
      </c>
      <c r="H2658" s="4" t="n">
        <v>462</v>
      </c>
      <c r="I2658" s="5" t="n">
        <v>145</v>
      </c>
      <c r="J2658" s="5" t="n">
        <v>17.1</v>
      </c>
      <c r="K2658" s="3" t="inlineStr">
        <is>
          <t>도로접 계획관리지역 조망권뷰 최상, 알토란 토지 매매,가격조정가능</t>
        </is>
      </c>
      <c r="L2658" s="6">
        <f>HYPERLINK("https://fin.land.naver.com/articles/2656214848", "매물Link")</f>
        <v/>
      </c>
      <c r="M2658" s="6">
        <f>HYPERLINK("https://map.naver.com/p/search/전동면 미곡리 74-5", "지도Link")</f>
        <v/>
      </c>
      <c r="N2658" s="6">
        <f>HYPERLINK("http://www.eum.go.kr/web/ar/lu/luLandDet.jsp?pnu=3611038029100740005&amp;isNoScr=script&amp;mode=search", "토지이음")</f>
        <v/>
      </c>
      <c r="O2658" s="3" t="inlineStr">
        <is>
          <t>고운맘</t>
        </is>
      </c>
      <c r="P2658" s="4" t="n">
        <v>1</v>
      </c>
      <c r="Q2658" s="4" t="n">
        <v>1526</v>
      </c>
      <c r="R2658" s="3" t="inlineStr">
        <is>
          <t>계획관리지역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미곡리 산22-2</t>
        </is>
      </c>
      <c r="B2659" s="3" t="inlineStr">
        <is>
          <t>생산관리지역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64900</v>
      </c>
      <c r="G2659" s="4" t="n">
        <v>2261</v>
      </c>
      <c r="H2659" s="4" t="n">
        <v>684</v>
      </c>
      <c r="I2659" s="5" t="n">
        <v>94.90000000000001</v>
      </c>
      <c r="J2659" s="5" t="n">
        <v>8.4</v>
      </c>
      <c r="K2659" s="3" t="inlineStr">
        <is>
          <t>1번국도 접한 용도 다양한 토지매매</t>
        </is>
      </c>
      <c r="L2659" s="6">
        <f>HYPERLINK("https://fin.land.naver.com/articles/2655177402", "매물Link")</f>
        <v/>
      </c>
      <c r="M2659" s="6">
        <f>HYPERLINK("https://map.naver.com/p/search/전동면 미곡리 산22-2", "지도Link")</f>
        <v/>
      </c>
      <c r="N2659" s="6">
        <f>HYPERLINK("http://www.eum.go.kr/web/ar/lu/luLandDet.jsp?pnu=3611038029200220002&amp;isNoScr=script&amp;mode=search", "토지이음")</f>
        <v/>
      </c>
      <c r="O2659" s="3" t="inlineStr">
        <is>
          <t>에이스</t>
        </is>
      </c>
      <c r="P2659" s="4" t="n">
        <v>1</v>
      </c>
      <c r="Q2659" s="4" t="n">
        <v>2261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미곡리 산53-1</t>
        </is>
      </c>
      <c r="B2660" s="3" t="inlineStr">
        <is>
          <t>농림지역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42000</v>
      </c>
      <c r="G2660" s="4" t="n">
        <v>9917</v>
      </c>
      <c r="H2660" s="4" t="n">
        <v>3000</v>
      </c>
      <c r="I2660" s="5" t="n">
        <v>14</v>
      </c>
      <c r="J2660" s="5" t="n">
        <v>2.8</v>
      </c>
      <c r="K2660" s="3" t="inlineStr">
        <is>
          <t>세종벤처밸리 산단, 전의 일반산단 인근, 농임업용 임야</t>
        </is>
      </c>
      <c r="L2660" s="6">
        <f>HYPERLINK("https://fin.land.naver.com/articles/2652717483", "매물Link")</f>
        <v/>
      </c>
      <c r="M2660" s="6">
        <f>HYPERLINK("https://map.naver.com/p/search/전동면 미곡리 산53-1", "지도Link")</f>
        <v/>
      </c>
      <c r="N2660" s="6">
        <f>HYPERLINK("http://www.eum.go.kr/web/ar/lu/luLandDet.jsp?pnu=3611038029200530001&amp;isNoScr=script&amp;mode=search", "토지이음")</f>
        <v/>
      </c>
      <c r="O2660" s="3" t="inlineStr">
        <is>
          <t>성복역롯데캐슬(889-2400)</t>
        </is>
      </c>
      <c r="P2660" s="4" t="n">
        <v>1</v>
      </c>
      <c r="Q2660" s="4" t="n">
        <v>9917</v>
      </c>
      <c r="R2660" s="3" t="inlineStr">
        <is>
          <t>보전관리지역</t>
        </is>
      </c>
      <c r="S2660" s="3" t="inlineStr">
        <is>
          <t>자연림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보덕리 135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86000</v>
      </c>
      <c r="G2661" s="4" t="n">
        <v>1901</v>
      </c>
      <c r="H2661" s="4" t="n">
        <v>575</v>
      </c>
      <c r="I2661" s="5" t="n">
        <v>149.6</v>
      </c>
      <c r="J2661" s="5" t="n">
        <v>23.2</v>
      </c>
      <c r="K2661" s="3" t="inlineStr">
        <is>
          <t>보덕리 계획관리 과수원및 주택지</t>
        </is>
      </c>
      <c r="L2661" s="6">
        <f>HYPERLINK("https://fin.land.naver.com/articles/2655142457", "매물Link")</f>
        <v/>
      </c>
      <c r="M2661" s="6">
        <f>HYPERLINK("https://map.naver.com/p/search/전동면 보덕리 135", "지도Link")</f>
        <v/>
      </c>
      <c r="N2661" s="6">
        <f>HYPERLINK("http://www.eum.go.kr/web/ar/lu/luLandDet.jsp?pnu=3611038025101350000&amp;isNoScr=script&amp;mode=search", "토지이음")</f>
        <v/>
      </c>
      <c r="O2661" s="3" t="inlineStr">
        <is>
          <t>OK수</t>
        </is>
      </c>
      <c r="P2661" s="4" t="n">
        <v>1</v>
      </c>
      <c r="Q2661" s="4" t="n">
        <v>1896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보덕리 182-1</t>
        </is>
      </c>
      <c r="B2662" s="3" t="inlineStr">
        <is>
          <t>보전관리지역</t>
        </is>
      </c>
      <c r="C2662" s="3" t="inlineStr">
        <is>
          <t>과수원</t>
        </is>
      </c>
      <c r="D2662" s="3" t="inlineStr">
        <is>
          <t>과수원</t>
        </is>
      </c>
      <c r="E2662" s="3" t="inlineStr">
        <is>
          <t>매매</t>
        </is>
      </c>
      <c r="F2662" s="4" t="n">
        <v>45000</v>
      </c>
      <c r="G2662" s="4" t="n">
        <v>1017</v>
      </c>
      <c r="H2662" s="4" t="n">
        <v>308</v>
      </c>
      <c r="I2662" s="5" t="n">
        <v>146.1</v>
      </c>
      <c r="J2662" s="5" t="n">
        <v>23.2</v>
      </c>
      <c r="K2662" s="3" t="inlineStr">
        <is>
          <t>도로가 옆 투자로 좋은 토지</t>
        </is>
      </c>
      <c r="L2662" s="6">
        <f>HYPERLINK("https://fin.land.naver.com/articles/2650856625", "매물Link")</f>
        <v/>
      </c>
      <c r="M2662" s="6">
        <f>HYPERLINK("https://map.naver.com/p/search/전동면 보덕리 182-1", "지도Link")</f>
        <v/>
      </c>
      <c r="N2662" s="6">
        <f>HYPERLINK("http://www.eum.go.kr/web/ar/lu/luLandDet.jsp?pnu=3611038025101820001&amp;isNoScr=script&amp;mode=search", "토지이음")</f>
        <v/>
      </c>
      <c r="O2662" s="3" t="inlineStr">
        <is>
          <t>세종대박</t>
        </is>
      </c>
      <c r="P2662" s="4" t="n">
        <v>1</v>
      </c>
      <c r="Q2662" s="4" t="n">
        <v>1017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전동면 보덕리 201-3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200000</v>
      </c>
      <c r="G2663" s="4" t="n">
        <v>1117</v>
      </c>
      <c r="H2663" s="4" t="n">
        <v>338</v>
      </c>
      <c r="I2663" s="5" t="n">
        <v>591.7</v>
      </c>
      <c r="J2663" s="5" t="n">
        <v>21</v>
      </c>
      <c r="K2663" s="3" t="inlineStr">
        <is>
          <t>이웃한 3필지 함께매도, 세종벤처벨리산단근처</t>
        </is>
      </c>
      <c r="L2663" s="6">
        <f>HYPERLINK("https://fin.land.naver.com/articles/2651009228", "매물Link")</f>
        <v/>
      </c>
      <c r="M2663" s="6">
        <f>HYPERLINK("https://map.naver.com/p/search/전동면 보덕리 201-3", "지도Link")</f>
        <v/>
      </c>
      <c r="N2663" s="6">
        <f>HYPERLINK("http://www.eum.go.kr/web/ar/lu/luLandDet.jsp?pnu=3611038025102010003&amp;isNoScr=script&amp;mode=search", "토지이음")</f>
        <v/>
      </c>
      <c r="O2663" s="3" t="inlineStr">
        <is>
          <t>생생</t>
        </is>
      </c>
      <c r="P2663" s="4" t="n">
        <v>1</v>
      </c>
      <c r="Q2663" s="4" t="n">
        <v>1117</v>
      </c>
      <c r="R2663" s="3" t="inlineStr">
        <is>
          <t>지정되지않음</t>
        </is>
      </c>
      <c r="S2663" s="3" t="inlineStr">
        <is>
          <t>전기타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보덕리 205-24</t>
        </is>
      </c>
      <c r="B2664" s="3" t="inlineStr">
        <is>
          <t>계획관리지역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30000</v>
      </c>
      <c r="G2664" s="4" t="n">
        <v>1025</v>
      </c>
      <c r="H2664" s="4" t="n">
        <v>310</v>
      </c>
      <c r="I2664" s="5" t="n">
        <v>96.8</v>
      </c>
      <c r="J2664" s="5" t="n">
        <v>26.2</v>
      </c>
      <c r="K2664" s="3" t="inlineStr">
        <is>
          <t>nan</t>
        </is>
      </c>
      <c r="L2664" s="6">
        <f>HYPERLINK("https://fin.land.naver.com/articles/2651106056", "매물Link")</f>
        <v/>
      </c>
      <c r="M2664" s="6">
        <f>HYPERLINK("https://map.naver.com/p/search/전동면 보덕리 205-24", "지도Link")</f>
        <v/>
      </c>
      <c r="N2664" s="6">
        <f>HYPERLINK("http://www.eum.go.kr/web/ar/lu/luLandDet.jsp?pnu=3611038025102050024&amp;isNoScr=script&amp;mode=search", "토지이음")</f>
        <v/>
      </c>
      <c r="O2664" s="3" t="inlineStr">
        <is>
          <t>뉴엘리트탑</t>
        </is>
      </c>
      <c r="P2664" s="4" t="n">
        <v>1</v>
      </c>
      <c r="Q2664" s="4" t="n">
        <v>1025</v>
      </c>
      <c r="R2664" s="3" t="inlineStr">
        <is>
          <t>지정되지않음</t>
        </is>
      </c>
      <c r="S2664" s="3" t="inlineStr">
        <is>
          <t>전기타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보덕리 206-5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32450</v>
      </c>
      <c r="G2665" s="4" t="n">
        <v>976</v>
      </c>
      <c r="H2665" s="4" t="n">
        <v>295</v>
      </c>
      <c r="I2665" s="5" t="n">
        <v>110</v>
      </c>
      <c r="J2665" s="5" t="n">
        <v>15.6</v>
      </c>
      <c r="K2665" s="3" t="inlineStr">
        <is>
          <t>nan</t>
        </is>
      </c>
      <c r="L2665" s="6">
        <f>HYPERLINK("https://fin.land.naver.com/articles/2656106838", "매물Link")</f>
        <v/>
      </c>
      <c r="M2665" s="6">
        <f>HYPERLINK("https://map.naver.com/p/search/전동면 보덕리 206-5", "지도Link")</f>
        <v/>
      </c>
      <c r="N2665" s="6">
        <f>HYPERLINK("http://www.eum.go.kr/web/ar/lu/luLandDet.jsp?pnu=3611038025102060005&amp;isNoScr=script&amp;mode=search", "토지이음")</f>
        <v/>
      </c>
      <c r="O2665" s="3" t="inlineStr">
        <is>
          <t>1등사무소</t>
        </is>
      </c>
      <c r="P2665" s="4" t="n">
        <v>1</v>
      </c>
      <c r="Q2665" s="4" t="n">
        <v>976</v>
      </c>
      <c r="R2665" s="3" t="inlineStr">
        <is>
          <t>지정되지않음</t>
        </is>
      </c>
      <c r="S2665" s="3" t="inlineStr">
        <is>
          <t>전기타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보덕리 273-4</t>
        </is>
      </c>
      <c r="B2666" s="3" t="inlineStr">
        <is>
          <t>계획관리지역</t>
        </is>
      </c>
      <c r="C2666" s="3" t="inlineStr">
        <is>
          <t>전</t>
        </is>
      </c>
      <c r="D2666" s="3" t="inlineStr">
        <is>
          <t>전</t>
        </is>
      </c>
      <c r="E2666" s="3" t="inlineStr">
        <is>
          <t>매매</t>
        </is>
      </c>
      <c r="F2666" s="4" t="n">
        <v>62300</v>
      </c>
      <c r="G2666" s="4" t="n">
        <v>1716</v>
      </c>
      <c r="H2666" s="4" t="n">
        <v>519</v>
      </c>
      <c r="I2666" s="5" t="n">
        <v>120</v>
      </c>
      <c r="J2666" s="5" t="n">
        <v>19.7</v>
      </c>
      <c r="K2666" s="3" t="inlineStr">
        <is>
          <t>세종벤처밸리산업단지 인근 토지</t>
        </is>
      </c>
      <c r="L2666" s="6">
        <f>HYPERLINK("https://fin.land.naver.com/articles/2654273965", "매물Link")</f>
        <v/>
      </c>
      <c r="M2666" s="6">
        <f>HYPERLINK("https://map.naver.com/p/search/전동면 보덕리 273-4", "지도Link")</f>
        <v/>
      </c>
      <c r="N2666" s="6">
        <f>HYPERLINK("http://www.eum.go.kr/web/ar/lu/luLandDet.jsp?pnu=3611038025102730004&amp;isNoScr=script&amp;mode=search", "토지이음")</f>
        <v/>
      </c>
      <c r="O2666" s="3" t="inlineStr">
        <is>
          <t>드림</t>
        </is>
      </c>
      <c r="P2666" s="4" t="n">
        <v>1</v>
      </c>
      <c r="Q2666" s="4" t="n">
        <v>1716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보덕리 378-12</t>
        </is>
      </c>
      <c r="B2667" s="3" t="inlineStr">
        <is>
          <t>농림지역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4010</v>
      </c>
      <c r="H2667" s="4" t="n">
        <v>1213</v>
      </c>
      <c r="I2667" s="5" t="n">
        <v>55</v>
      </c>
      <c r="J2667" s="5" t="n">
        <v>17.9</v>
      </c>
      <c r="K2667" s="3" t="inlineStr">
        <is>
          <t>밴처밸리산단 옆 절대농지,대토추천,향후 개발 가능성 있음</t>
        </is>
      </c>
      <c r="L2667" s="6">
        <f>HYPERLINK("https://fin.land.naver.com/articles/2655744424", "매물Link")</f>
        <v/>
      </c>
      <c r="M2667" s="6">
        <f>HYPERLINK("https://map.naver.com/p/search/전동면 보덕리 378-12", "지도Link")</f>
        <v/>
      </c>
      <c r="N2667" s="6">
        <f>HYPERLINK("http://www.eum.go.kr/web/ar/lu/luLandDet.jsp?pnu=3611038025103780012&amp;isNoScr=script&amp;mode=search",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4010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전동면 보덕리 381-8</t>
        </is>
      </c>
      <c r="B2668" s="3" t="inlineStr">
        <is>
          <t>농림지역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19650</v>
      </c>
      <c r="G2668" s="4" t="n">
        <v>1120</v>
      </c>
      <c r="H2668" s="4" t="n">
        <v>339</v>
      </c>
      <c r="I2668" s="5" t="n">
        <v>58</v>
      </c>
      <c r="J2668" s="5" t="n">
        <v>16.9</v>
      </c>
      <c r="K2668" s="3" t="inlineStr">
        <is>
          <t>대토 농림지역 답, 조치원10분거리</t>
        </is>
      </c>
      <c r="L2668" s="6">
        <f>HYPERLINK("https://fin.land.naver.com/articles/2654226032", "매물Link")</f>
        <v/>
      </c>
      <c r="M2668" s="6">
        <f>HYPERLINK("https://map.naver.com/p/search/전동면 보덕리 381-8", "지도Link")</f>
        <v/>
      </c>
      <c r="N2668" s="6">
        <f>HYPERLINK("http://www.eum.go.kr/web/ar/lu/luLandDet.jsp?pnu=3611038025103810008&amp;isNoScr=script&amp;mode=search", "토지이음")</f>
        <v/>
      </c>
      <c r="O2668" s="3" t="inlineStr">
        <is>
          <t>미스터홈즈강남지사</t>
        </is>
      </c>
      <c r="P2668" s="4" t="n">
        <v>2</v>
      </c>
      <c r="Q2668" s="4" t="n">
        <v>1120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평지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전동면 보덕리 383-13</t>
        </is>
      </c>
      <c r="B2669" s="3" t="inlineStr">
        <is>
          <t>농림지역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23000</v>
      </c>
      <c r="G2669" s="4" t="n">
        <v>2005</v>
      </c>
      <c r="H2669" s="4" t="n">
        <v>607</v>
      </c>
      <c r="I2669" s="5" t="n">
        <v>37.9</v>
      </c>
      <c r="J2669" s="5" t="n">
        <v>16.9</v>
      </c>
      <c r="K2669" s="3" t="inlineStr">
        <is>
          <t>보덕리</t>
        </is>
      </c>
      <c r="L2669" s="6">
        <f>HYPERLINK("https://fin.land.naver.com/articles/2653765438", "매물Link")</f>
        <v/>
      </c>
      <c r="M2669" s="6">
        <f>HYPERLINK("https://map.naver.com/p/search/전동면 보덕리 383-13", "지도Link")</f>
        <v/>
      </c>
      <c r="N2669" s="6">
        <f>HYPERLINK("http://www.eum.go.kr/web/ar/lu/luLandDet.jsp?pnu=3611038025103830013&amp;isNoScr=script&amp;mode=search", "토지이음")</f>
        <v/>
      </c>
      <c r="O2669" s="3" t="inlineStr">
        <is>
          <t>대원</t>
        </is>
      </c>
      <c r="P2669" s="4" t="n">
        <v>1</v>
      </c>
      <c r="Q2669" s="4" t="n">
        <v>2005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평지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전동면 보덕리 383-13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25000</v>
      </c>
      <c r="G2670" s="4" t="n">
        <v>2005</v>
      </c>
      <c r="H2670" s="4" t="n">
        <v>607</v>
      </c>
      <c r="I2670" s="5" t="n">
        <v>41.2</v>
      </c>
      <c r="J2670" s="5" t="n">
        <v>16.9</v>
      </c>
      <c r="K2670" s="3" t="inlineStr">
        <is>
          <t>급매 복토해서 과수등 나무식재중입니다</t>
        </is>
      </c>
      <c r="L2670" s="6">
        <f>HYPERLINK("https://fin.land.naver.com/articles/2652043426", "매물Link")</f>
        <v/>
      </c>
      <c r="M2670" s="6">
        <f>HYPERLINK("https://map.naver.com/p/search/전동면 보덕리 383-13", "지도Link")</f>
        <v/>
      </c>
      <c r="N2670" s="6">
        <f>HYPERLINK("http://www.eum.go.kr/web/ar/lu/luLandDet.jsp?pnu=3611038025103830013&amp;isNoScr=script&amp;mode=search",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2005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전동면 보덕리 383-6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55000</v>
      </c>
      <c r="G2671" s="4" t="n">
        <v>3320</v>
      </c>
      <c r="H2671" s="4" t="n">
        <v>1004</v>
      </c>
      <c r="I2671" s="5" t="n">
        <v>54.8</v>
      </c>
      <c r="J2671" s="5" t="n">
        <v>16.9</v>
      </c>
      <c r="K2671" s="3" t="inlineStr">
        <is>
          <t>보덕리 농림지역 토지 매매</t>
        </is>
      </c>
      <c r="L2671" s="6">
        <f>HYPERLINK("https://fin.land.naver.com/articles/2653072728", "매물Link")</f>
        <v/>
      </c>
      <c r="M2671" s="6">
        <f>HYPERLINK("https://map.naver.com/p/search/전동면 보덕리 383-6", "지도Link")</f>
        <v/>
      </c>
      <c r="N2671" s="6">
        <f>HYPERLINK("http://www.eum.go.kr/web/ar/lu/luLandDet.jsp?pnu=3611038025103830006&amp;isNoScr=script&amp;mode=search", "토지이음")</f>
        <v/>
      </c>
      <c r="O2671" s="3" t="inlineStr">
        <is>
          <t>세종땅사랑</t>
        </is>
      </c>
      <c r="P2671" s="4" t="n">
        <v>1</v>
      </c>
      <c r="Q2671" s="4" t="n">
        <v>3320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전동면 보덕리 387-11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47000</v>
      </c>
      <c r="G2672" s="4" t="n">
        <v>2200</v>
      </c>
      <c r="H2672" s="4" t="n">
        <v>666</v>
      </c>
      <c r="I2672" s="5" t="n">
        <v>70.59999999999999</v>
      </c>
      <c r="J2672" s="5" t="n">
        <v>19.2</v>
      </c>
      <c r="K2672" s="3" t="inlineStr">
        <is>
          <t>대토로 추천</t>
        </is>
      </c>
      <c r="L2672" s="6">
        <f>HYPERLINK("https://fin.land.naver.com/articles/2655705430", "매물Link")</f>
        <v/>
      </c>
      <c r="M2672" s="6">
        <f>HYPERLINK("https://map.naver.com/p/search/전동면 보덕리 387-11", "지도Link")</f>
        <v/>
      </c>
      <c r="N2672" s="6">
        <f>HYPERLINK("http://www.eum.go.kr/web/ar/lu/luLandDet.jsp?pnu=3611038025103870011&amp;isNoScr=script&amp;mode=search", "토지이음")</f>
        <v/>
      </c>
      <c r="O2672" s="3" t="inlineStr">
        <is>
          <t>세종베스트</t>
        </is>
      </c>
      <c r="P2672" s="4" t="n">
        <v>1</v>
      </c>
      <c r="Q2672" s="4" t="n">
        <v>2216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전동면 보덕리 산29-10</t>
        </is>
      </c>
      <c r="B2673" s="3" t="inlineStr">
        <is>
          <t>농림지역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12000</v>
      </c>
      <c r="G2673" s="4" t="n">
        <v>10001</v>
      </c>
      <c r="H2673" s="4" t="n">
        <v>3025</v>
      </c>
      <c r="I2673" s="5" t="n">
        <v>4</v>
      </c>
      <c r="J2673" s="5" t="n">
        <v>2</v>
      </c>
      <c r="K2673" s="3" t="inlineStr">
        <is>
          <t>nan</t>
        </is>
      </c>
      <c r="L2673" s="6">
        <f>HYPERLINK("https://fin.land.naver.com/articles/2652593987", "매물Link")</f>
        <v/>
      </c>
      <c r="M2673" s="6">
        <f>HYPERLINK("https://map.naver.com/p/search/전동면 보덕리 산29-10", "지도Link")</f>
        <v/>
      </c>
      <c r="N2673" s="6">
        <f>HYPERLINK("http://www.eum.go.kr/web/ar/lu/luLandDet.jsp?pnu=3611038025200290010&amp;isNoScr=script&amp;mode=search", "토지이음")</f>
        <v/>
      </c>
      <c r="O2673" s="3" t="inlineStr">
        <is>
          <t>메이저새롬현대</t>
        </is>
      </c>
      <c r="P2673" s="4" t="n">
        <v>3</v>
      </c>
      <c r="Q2673" s="4" t="n">
        <v>10001</v>
      </c>
      <c r="R2673" s="3" t="inlineStr">
        <is>
          <t>지정되지않음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맹지</t>
        </is>
      </c>
    </row>
    <row r="2674">
      <c r="A2674" s="3" t="inlineStr">
        <is>
          <t>전동면 보덕리 산50-20</t>
        </is>
      </c>
      <c r="B2674" s="3" t="inlineStr">
        <is>
          <t>계획관리지역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13000</v>
      </c>
      <c r="G2674" s="4" t="n">
        <v>431</v>
      </c>
      <c r="H2674" s="4" t="n">
        <v>130</v>
      </c>
      <c r="I2674" s="5" t="n">
        <v>100</v>
      </c>
      <c r="J2674" s="5" t="n">
        <v>6.4</v>
      </c>
      <c r="K2674" s="3" t="inlineStr">
        <is>
          <t>급매.세종시소액투자토지</t>
        </is>
      </c>
      <c r="L2674" s="6">
        <f>HYPERLINK("https://fin.land.naver.com/articles/2651903153", "매물Link")</f>
        <v/>
      </c>
      <c r="M2674" s="6">
        <f>HYPERLINK("https://map.naver.com/p/search/전동면 보덕리 산50-20", "지도Link")</f>
        <v/>
      </c>
      <c r="N2674" s="6">
        <f>HYPERLINK("http://www.eum.go.kr/web/ar/lu/luLandDet.jsp?pnu=3611038025200500020&amp;isNoScr=script&amp;mode=search", "토지이음")</f>
        <v/>
      </c>
      <c r="O2674" s="3" t="inlineStr">
        <is>
          <t>강아지풀</t>
        </is>
      </c>
      <c r="P2674" s="4" t="n">
        <v>1</v>
      </c>
      <c r="Q2674" s="4" t="n">
        <v>431</v>
      </c>
      <c r="R2674" s="3" t="inlineStr">
        <is>
          <t>보전관리지역</t>
        </is>
      </c>
      <c r="S2674" s="3" t="inlineStr">
        <is>
          <t>자연림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봉대리 160-1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50480</v>
      </c>
      <c r="G2675" s="4" t="n">
        <v>4172</v>
      </c>
      <c r="H2675" s="4" t="n">
        <v>1262</v>
      </c>
      <c r="I2675" s="5" t="n">
        <v>40</v>
      </c>
      <c r="J2675" s="5" t="n">
        <v>14.2</v>
      </c>
      <c r="K2675" s="3" t="inlineStr">
        <is>
          <t>총4필지, 대토추천 답과 복숭아농사로 사용중, 국유리 현황도로 접</t>
        </is>
      </c>
      <c r="L2675" s="6">
        <f>HYPERLINK("https://fin.land.naver.com/articles/2652047844", "매물Link")</f>
        <v/>
      </c>
      <c r="M2675" s="6">
        <f>HYPERLINK("https://map.naver.com/p/search/전동면 봉대리 160-1", "지도Link")</f>
        <v/>
      </c>
      <c r="N2675" s="6">
        <f>HYPERLINK("http://www.eum.go.kr/web/ar/lu/luLandDet.jsp?pnu=3611038022101600001&amp;isNoScr=script&amp;mode=search", "토지이음")</f>
        <v/>
      </c>
      <c r="O2675" s="3" t="inlineStr">
        <is>
          <t>미스터홈즈강남지사</t>
        </is>
      </c>
      <c r="P2675" s="4" t="n">
        <v>1</v>
      </c>
      <c r="Q2675" s="4" t="n">
        <v>1524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봉대리 191</t>
        </is>
      </c>
      <c r="B2676" s="3" t="inlineStr">
        <is>
          <t>생산관리지역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120000</v>
      </c>
      <c r="G2676" s="4" t="n">
        <v>8046</v>
      </c>
      <c r="H2676" s="4" t="n">
        <v>2434</v>
      </c>
      <c r="I2676" s="5" t="n">
        <v>49.3</v>
      </c>
      <c r="J2676" s="5" t="n">
        <v>14.1</v>
      </c>
      <c r="K2676" s="3" t="inlineStr">
        <is>
          <t>생활도로 낀 모양좋은 관리지역 토지매매</t>
        </is>
      </c>
      <c r="L2676" s="6">
        <f>HYPERLINK("https://fin.land.naver.com/articles/2653195537", "매물Link")</f>
        <v/>
      </c>
      <c r="M2676" s="6">
        <f>HYPERLINK("https://map.naver.com/p/search/전동면 봉대리 191", "지도Link")</f>
        <v/>
      </c>
      <c r="N2676" s="6">
        <f>HYPERLINK("http://www.eum.go.kr/web/ar/lu/luLandDet.jsp?pnu=3611038022101910000&amp;isNoScr=script&amp;mode=search", "토지이음")</f>
        <v/>
      </c>
      <c r="O2676" s="3" t="inlineStr">
        <is>
          <t>THE행복</t>
        </is>
      </c>
      <c r="P2676" s="4" t="n">
        <v>1</v>
      </c>
      <c r="Q2676" s="4" t="n">
        <v>8046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봉대리 194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23000</v>
      </c>
      <c r="G2677" s="4" t="n">
        <v>2016</v>
      </c>
      <c r="H2677" s="4" t="n">
        <v>610</v>
      </c>
      <c r="I2677" s="5" t="n">
        <v>37.7</v>
      </c>
      <c r="J2677" s="5" t="n">
        <v>14.1</v>
      </c>
      <c r="K2677" s="3" t="inlineStr">
        <is>
          <t>건축가능한 남향토지</t>
        </is>
      </c>
      <c r="L2677" s="6">
        <f>HYPERLINK("https://fin.land.naver.com/articles/2651733838", "매물Link")</f>
        <v/>
      </c>
      <c r="M2677" s="6">
        <f>HYPERLINK("https://map.naver.com/p/search/전동면 봉대리 194", "지도Link")</f>
        <v/>
      </c>
      <c r="N2677" s="6">
        <f>HYPERLINK("http://www.eum.go.kr/web/ar/lu/luLandDet.jsp?pnu=3611038022101940000&amp;isNoScr=script&amp;mode=search", "토지이음")</f>
        <v/>
      </c>
      <c r="O2677" s="3" t="inlineStr">
        <is>
          <t>THE행복</t>
        </is>
      </c>
      <c r="P2677" s="4" t="n">
        <v>1</v>
      </c>
      <c r="Q2677" s="4" t="n">
        <v>1246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봉대리 212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8500</v>
      </c>
      <c r="G2678" s="4" t="n">
        <v>417</v>
      </c>
      <c r="H2678" s="4" t="n">
        <v>126</v>
      </c>
      <c r="I2678" s="5" t="n">
        <v>67.5</v>
      </c>
      <c r="J2678" s="5" t="n">
        <v>19</v>
      </c>
      <c r="K2678" s="3" t="inlineStr">
        <is>
          <t>소액 투자 추천</t>
        </is>
      </c>
      <c r="L2678" s="6">
        <f>HYPERLINK("https://fin.land.naver.com/articles/2651936415", "매물Link")</f>
        <v/>
      </c>
      <c r="M2678" s="6">
        <f>HYPERLINK("https://map.naver.com/p/search/전동면 봉대리 212", "지도Link")</f>
        <v/>
      </c>
      <c r="N2678" s="6">
        <f>HYPERLINK("http://www.eum.go.kr/web/ar/lu/luLandDet.jsp?pnu=3611038022102120000&amp;isNoScr=script&amp;mode=search", "토지이음")</f>
        <v/>
      </c>
      <c r="O2678" s="3" t="inlineStr">
        <is>
          <t>강아지풀</t>
        </is>
      </c>
      <c r="P2678" s="4" t="n">
        <v>1</v>
      </c>
      <c r="Q2678" s="4" t="n">
        <v>417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세로각지(가)</t>
        </is>
      </c>
    </row>
    <row r="2679">
      <c r="A2679" s="3" t="inlineStr">
        <is>
          <t>전동면 석곡리 149-3</t>
        </is>
      </c>
      <c r="B2679" s="3" t="inlineStr">
        <is>
          <t>생산관리지역</t>
        </is>
      </c>
      <c r="C2679" s="3" t="inlineStr">
        <is>
          <t>과수원</t>
        </is>
      </c>
      <c r="D2679" s="3" t="inlineStr">
        <is>
          <t>과수원</t>
        </is>
      </c>
      <c r="E2679" s="3" t="inlineStr">
        <is>
          <t>매매</t>
        </is>
      </c>
      <c r="F2679" s="4" t="n">
        <v>8800</v>
      </c>
      <c r="G2679" s="4" t="n">
        <v>482</v>
      </c>
      <c r="H2679" s="4" t="n">
        <v>146</v>
      </c>
      <c r="I2679" s="5" t="n">
        <v>60.3</v>
      </c>
      <c r="J2679" s="5" t="n">
        <v>16.4</v>
      </c>
      <c r="K2679" s="3" t="inlineStr">
        <is>
          <t>전동면 석곡리 토지 급매</t>
        </is>
      </c>
      <c r="L2679" s="6">
        <f>HYPERLINK("https://fin.land.naver.com/articles/2653950328", "매물Link")</f>
        <v/>
      </c>
      <c r="M2679" s="6">
        <f>HYPERLINK("https://map.naver.com/p/search/전동면 석곡리 149-3", "지도Link")</f>
        <v/>
      </c>
      <c r="N2679" s="6">
        <f>HYPERLINK("http://www.eum.go.kr/web/ar/lu/luLandDet.jsp?pnu=3611038024101490003&amp;isNoScr=script&amp;mode=search", "토지이음")</f>
        <v/>
      </c>
      <c r="O2679" s="3" t="inlineStr">
        <is>
          <t>KB세종</t>
        </is>
      </c>
      <c r="P2679" s="4" t="n">
        <v>1</v>
      </c>
      <c r="Q2679" s="4" t="n">
        <v>482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석곡리 149-4</t>
        </is>
      </c>
      <c r="B2680" s="3" t="inlineStr">
        <is>
          <t>생산관리지역</t>
        </is>
      </c>
      <c r="C2680" s="3" t="inlineStr">
        <is>
          <t>과수원</t>
        </is>
      </c>
      <c r="D2680" s="3" t="inlineStr">
        <is>
          <t>과수원</t>
        </is>
      </c>
      <c r="E2680" s="3" t="inlineStr">
        <is>
          <t>매매</t>
        </is>
      </c>
      <c r="F2680" s="4" t="n">
        <v>17500</v>
      </c>
      <c r="G2680" s="4" t="n">
        <v>962</v>
      </c>
      <c r="H2680" s="4" t="n">
        <v>291</v>
      </c>
      <c r="I2680" s="5" t="n">
        <v>60.1</v>
      </c>
      <c r="J2680" s="5" t="n">
        <v>16.4</v>
      </c>
      <c r="K2680" s="3" t="inlineStr">
        <is>
          <t>세종시 위치 좋은 곳 저렴한 토지</t>
        </is>
      </c>
      <c r="L2680" s="6">
        <f>HYPERLINK("https://fin.land.naver.com/articles/2655896005", "매물Link")</f>
        <v/>
      </c>
      <c r="M2680" s="6">
        <f>HYPERLINK("https://map.naver.com/p/search/전동면 석곡리 149-4", "지도Link")</f>
        <v/>
      </c>
      <c r="N2680" s="6">
        <f>HYPERLINK("http://www.eum.go.kr/web/ar/lu/luLandDet.jsp?pnu=3611038024101490004&amp;isNoScr=script&amp;mode=search", "토지이음")</f>
        <v/>
      </c>
      <c r="O2680" s="3" t="inlineStr">
        <is>
          <t>KB세종</t>
        </is>
      </c>
      <c r="P2680" s="4" t="n">
        <v>1</v>
      </c>
      <c r="Q2680" s="4" t="n">
        <v>962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세로한면(가)</t>
        </is>
      </c>
    </row>
    <row r="2681">
      <c r="A2681" s="3" t="inlineStr">
        <is>
          <t>전동면 석곡리 37-4</t>
        </is>
      </c>
      <c r="B2681" s="3" t="inlineStr">
        <is>
          <t>농림지역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57200</v>
      </c>
      <c r="G2681" s="4" t="n">
        <v>1891</v>
      </c>
      <c r="H2681" s="4" t="n">
        <v>572</v>
      </c>
      <c r="I2681" s="5" t="n">
        <v>100</v>
      </c>
      <c r="J2681" s="5" t="n">
        <v>15</v>
      </c>
      <c r="K2681" s="3" t="inlineStr">
        <is>
          <t>농림지역. 직사각형 농업진흥구역 . 도로인접</t>
        </is>
      </c>
      <c r="L2681" s="6">
        <f>HYPERLINK("https://fin.land.naver.com/articles/2654379529", "매물Link")</f>
        <v/>
      </c>
      <c r="M2681" s="6">
        <f>HYPERLINK("https://map.naver.com/p/search/전동면 석곡리 37-4", "지도Link")</f>
        <v/>
      </c>
      <c r="N2681" s="6">
        <f>HYPERLINK("http://www.eum.go.kr/web/ar/lu/luLandDet.jsp?pnu=3611038024100370004&amp;isNoScr=script&amp;mode=search", "토지이음")</f>
        <v/>
      </c>
      <c r="O2681" s="3" t="inlineStr">
        <is>
          <t>보람최고</t>
        </is>
      </c>
      <c r="P2681" s="4" t="n">
        <v>1</v>
      </c>
      <c r="Q2681" s="4" t="n">
        <v>1891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석곡리 42-2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21000</v>
      </c>
      <c r="G2682" s="4" t="n">
        <v>1150</v>
      </c>
      <c r="H2682" s="4" t="n">
        <v>348</v>
      </c>
      <c r="I2682" s="5" t="n">
        <v>60.3</v>
      </c>
      <c r="J2682" s="5" t="n">
        <v>15</v>
      </c>
      <c r="K2682" s="3" t="inlineStr">
        <is>
          <t>대토용 농지</t>
        </is>
      </c>
      <c r="L2682" s="6">
        <f>HYPERLINK("https://fin.land.naver.com/articles/2656218663", "매물Link")</f>
        <v/>
      </c>
      <c r="M2682" s="6">
        <f>HYPERLINK("https://map.naver.com/p/search/전동면 석곡리 42-2", "지도Link")</f>
        <v/>
      </c>
      <c r="N2682" s="6">
        <f>HYPERLINK("http://www.eum.go.kr/web/ar/lu/luLandDet.jsp?pnu=3611038024100420002&amp;isNoScr=script&amp;mode=search", "토지이음")</f>
        <v/>
      </c>
      <c r="O2682" s="3" t="inlineStr">
        <is>
          <t>북세종</t>
        </is>
      </c>
      <c r="P2682" s="4" t="n">
        <v>1</v>
      </c>
      <c r="Q2682" s="4" t="n">
        <v>1152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석곡리 44</t>
        </is>
      </c>
      <c r="B2683" s="3" t="inlineStr">
        <is>
          <t>농림지역</t>
        </is>
      </c>
      <c r="C2683" s="3" t="inlineStr">
        <is>
          <t>답</t>
        </is>
      </c>
      <c r="D2683" s="3" t="inlineStr">
        <is>
          <t>답</t>
        </is>
      </c>
      <c r="E2683" s="3" t="inlineStr">
        <is>
          <t>매매</t>
        </is>
      </c>
      <c r="F2683" s="4" t="n">
        <v>40000</v>
      </c>
      <c r="G2683" s="4" t="n">
        <v>1976</v>
      </c>
      <c r="H2683" s="4" t="n">
        <v>598</v>
      </c>
      <c r="I2683" s="5" t="n">
        <v>66.90000000000001</v>
      </c>
      <c r="J2683" s="5" t="n">
        <v>15.1</v>
      </c>
      <c r="K2683" s="3" t="inlineStr">
        <is>
          <t>톨게이트 초인근 농지매매</t>
        </is>
      </c>
      <c r="L2683" s="6">
        <f>HYPERLINK("https://fin.land.naver.com/articles/2655175038", "매물Link")</f>
        <v/>
      </c>
      <c r="M2683" s="6">
        <f>HYPERLINK("https://map.naver.com/p/search/전동면 석곡리 44", "지도Link")</f>
        <v/>
      </c>
      <c r="N2683" s="6">
        <f>HYPERLINK("http://www.eum.go.kr/web/ar/lu/luLandDet.jsp?pnu=3611038024100440000&amp;isNoScr=script&amp;mode=search", "토지이음")</f>
        <v/>
      </c>
      <c r="O2683" s="3" t="inlineStr">
        <is>
          <t>에이스</t>
        </is>
      </c>
      <c r="P2683" s="4" t="n">
        <v>5</v>
      </c>
      <c r="Q2683" s="4" t="n">
        <v>1976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석곡리 산4-1</t>
        </is>
      </c>
      <c r="B2684" s="3" t="inlineStr">
        <is>
          <t>농림지역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393000</v>
      </c>
      <c r="G2684" s="4" t="n">
        <v>10826</v>
      </c>
      <c r="H2684" s="4" t="n">
        <v>3275</v>
      </c>
      <c r="I2684" s="5" t="n">
        <v>120</v>
      </c>
      <c r="J2684" s="5" t="n">
        <v>2.1</v>
      </c>
      <c r="K2684" s="3" t="inlineStr">
        <is>
          <t>석곡리임야 도로접 세종벤처밸리산단옆 미래가치기대</t>
        </is>
      </c>
      <c r="L2684" s="6">
        <f>HYPERLINK("https://fin.land.naver.com/articles/2656199760", "매물Link")</f>
        <v/>
      </c>
      <c r="M2684" s="6">
        <f>HYPERLINK("https://map.naver.com/p/search/전동면 석곡리 산4-1", "지도Link")</f>
        <v/>
      </c>
      <c r="N2684" s="6">
        <f>HYPERLINK("http://www.eum.go.kr/web/ar/lu/luLandDet.jsp?pnu=3611038024200040001&amp;isNoScr=script&amp;mode=search", "토지이음")</f>
        <v/>
      </c>
      <c r="O2684" s="3" t="inlineStr">
        <is>
          <t>마수영</t>
        </is>
      </c>
      <c r="P2684" s="4" t="n">
        <v>2</v>
      </c>
      <c r="Q2684" s="4" t="n">
        <v>10826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급경사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송곡리 108-6</t>
        </is>
      </c>
      <c r="B2685" s="3" t="inlineStr">
        <is>
          <t>농림지역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34000</v>
      </c>
      <c r="G2685" s="4" t="n">
        <v>871</v>
      </c>
      <c r="H2685" s="4" t="n">
        <v>263</v>
      </c>
      <c r="I2685" s="5" t="n">
        <v>129.3</v>
      </c>
      <c r="J2685" s="5" t="n">
        <v>20.6</v>
      </c>
      <c r="K2685" s="3" t="inlineStr">
        <is>
          <t>2차선 도로옆 접근성 좋고 활용도 높은 송곡리 토지</t>
        </is>
      </c>
      <c r="L2685" s="6">
        <f>HYPERLINK("https://fin.land.naver.com/articles/2655581227", "매물Link")</f>
        <v/>
      </c>
      <c r="M2685" s="6">
        <f>HYPERLINK("https://map.naver.com/p/search/전동면 송곡리 108-6", "지도Link")</f>
        <v/>
      </c>
      <c r="N2685" s="6">
        <f>HYPERLINK("http://www.eum.go.kr/web/ar/lu/luLandDet.jsp?pnu=3611038026101080006&amp;isNoScr=script&amp;mode=search", "토지이음")</f>
        <v/>
      </c>
      <c r="O2685" s="3" t="inlineStr">
        <is>
          <t>새롬삼둥이</t>
        </is>
      </c>
      <c r="P2685" s="4" t="n">
        <v>1</v>
      </c>
      <c r="Q2685" s="4" t="n">
        <v>871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송곡리 116-15</t>
        </is>
      </c>
      <c r="B2686" s="3" t="inlineStr">
        <is>
          <t>보전관리지역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260000</v>
      </c>
      <c r="G2686" s="4" t="n">
        <v>21695</v>
      </c>
      <c r="H2686" s="4" t="n">
        <v>6563</v>
      </c>
      <c r="I2686" s="5" t="n">
        <v>39.6</v>
      </c>
      <c r="J2686" s="5" t="n">
        <v>17.9</v>
      </c>
      <c r="K2686" s="3" t="inlineStr">
        <is>
          <t>송곡리 저렴토지, 비닐하우스,휴게공간 등 토지관리 우수</t>
        </is>
      </c>
      <c r="L2686" s="6">
        <f>HYPERLINK("https://fin.land.naver.com/articles/2654799798", "매물Link")</f>
        <v/>
      </c>
      <c r="M2686" s="6">
        <f>HYPERLINK("https://map.naver.com/p/search/전동면 송곡리 116-15", "지도Link")</f>
        <v/>
      </c>
      <c r="N2686" s="6">
        <f>HYPERLINK("http://www.eum.go.kr/web/ar/lu/luLandDet.jsp?pnu=3611038026101160015&amp;isNoScr=script&amp;mode=search", "토지이음")</f>
        <v/>
      </c>
      <c r="O2686" s="3" t="inlineStr">
        <is>
          <t>다옴</t>
        </is>
      </c>
      <c r="P2686" s="4" t="n">
        <v>1</v>
      </c>
      <c r="Q2686" s="4" t="n">
        <v>3783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맹지</t>
        </is>
      </c>
    </row>
    <row r="2687">
      <c r="A2687" s="3" t="inlineStr">
        <is>
          <t>전동면 송곡리 139-2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55000</v>
      </c>
      <c r="G2687" s="4" t="n">
        <v>1053</v>
      </c>
      <c r="H2687" s="4" t="n">
        <v>319</v>
      </c>
      <c r="I2687" s="5" t="n">
        <v>172.4</v>
      </c>
      <c r="J2687" s="5" t="n">
        <v>62.9</v>
      </c>
      <c r="K2687" s="3" t="inlineStr">
        <is>
          <t>송곡리 2차선 도로접 현재 단독주택있음</t>
        </is>
      </c>
      <c r="L2687" s="6">
        <f>HYPERLINK("https://fin.land.naver.com/articles/2651708608", "매물Link")</f>
        <v/>
      </c>
      <c r="M2687" s="6">
        <f>HYPERLINK("https://map.naver.com/p/search/전동면 송곡리 139-2", "지도Link")</f>
        <v/>
      </c>
      <c r="N2687" s="6">
        <f>HYPERLINK("http://www.eum.go.kr/web/ar/lu/luLandDet.jsp?pnu=3611038026101390002&amp;isNoScr=script&amp;mode=search", "토지이음")</f>
        <v/>
      </c>
      <c r="O2687" s="3" t="inlineStr">
        <is>
          <t>OK수</t>
        </is>
      </c>
      <c r="P2687" s="4" t="n">
        <v>1</v>
      </c>
      <c r="Q2687" s="4" t="n">
        <v>1053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사다리형</t>
        </is>
      </c>
      <c r="V2687" s="3" t="inlineStr">
        <is>
          <t>소로한면</t>
        </is>
      </c>
    </row>
    <row r="2688">
      <c r="A2688" s="3" t="inlineStr">
        <is>
          <t>전동면 송곡리 149-2</t>
        </is>
      </c>
      <c r="B2688" s="3" t="inlineStr">
        <is>
          <t>계획관리지역</t>
        </is>
      </c>
      <c r="C2688" s="3" t="inlineStr">
        <is>
          <t>대</t>
        </is>
      </c>
      <c r="D2688" s="3" t="inlineStr">
        <is>
          <t>대</t>
        </is>
      </c>
      <c r="E2688" s="3" t="inlineStr">
        <is>
          <t>매매</t>
        </is>
      </c>
      <c r="F2688" s="4" t="n">
        <v>15000</v>
      </c>
      <c r="G2688" s="4" t="n">
        <v>252</v>
      </c>
      <c r="H2688" s="4" t="n">
        <v>76</v>
      </c>
      <c r="I2688" s="5" t="n">
        <v>197.4</v>
      </c>
      <c r="J2688" s="5" t="n">
        <v>48.7</v>
      </c>
      <c r="K2688" s="3" t="inlineStr">
        <is>
          <t>계획관리 대지이며, 미등기건물 시골주택있음,남향,소액투자추천</t>
        </is>
      </c>
      <c r="L2688" s="6">
        <f>HYPERLINK("https://fin.land.naver.com/articles/2655744280", "매물Link")</f>
        <v/>
      </c>
      <c r="M2688" s="6">
        <f>HYPERLINK("https://map.naver.com/p/search/전동면 송곡리 149-2", "지도Link")</f>
        <v/>
      </c>
      <c r="N2688" s="6">
        <f>HYPERLINK("http://www.eum.go.kr/web/ar/lu/luLandDet.jsp?pnu=3611038026101490002&amp;isNoScr=script&amp;mode=search", "토지이음")</f>
        <v/>
      </c>
      <c r="O2688" s="3" t="inlineStr">
        <is>
          <t>신안무소</t>
        </is>
      </c>
      <c r="P2688" s="4" t="n">
        <v>1</v>
      </c>
      <c r="Q2688" s="4" t="n">
        <v>252</v>
      </c>
      <c r="R2688" s="3" t="inlineStr">
        <is>
          <t>지정되지않음</t>
        </is>
      </c>
      <c r="S2688" s="3" t="inlineStr">
        <is>
          <t>단독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송곡리 182-4</t>
        </is>
      </c>
      <c r="B2689" s="3" t="inlineStr">
        <is>
          <t>계획관리지역</t>
        </is>
      </c>
      <c r="C2689" s="3" t="inlineStr">
        <is>
          <t>전</t>
        </is>
      </c>
      <c r="D2689" s="3" t="inlineStr">
        <is>
          <t>전</t>
        </is>
      </c>
      <c r="E2689" s="3" t="inlineStr">
        <is>
          <t>매매</t>
        </is>
      </c>
      <c r="F2689" s="4" t="n">
        <v>105800</v>
      </c>
      <c r="G2689" s="4" t="n">
        <v>3888</v>
      </c>
      <c r="H2689" s="4" t="n">
        <v>1176</v>
      </c>
      <c r="I2689" s="5" t="n">
        <v>90</v>
      </c>
      <c r="J2689" s="5" t="n">
        <v>26.9</v>
      </c>
      <c r="K2689" s="3" t="inlineStr">
        <is>
          <t>계획관리지역 농지입니다. 전원주택,창고,시설등 조건에 따라 쓰임새 다양</t>
        </is>
      </c>
      <c r="L2689" s="6">
        <f>HYPERLINK("https://fin.land.naver.com/articles/2654351345", "매물Link")</f>
        <v/>
      </c>
      <c r="M2689" s="6">
        <f>HYPERLINK("https://map.naver.com/p/search/전동면 송곡리 182-4", "지도Link")</f>
        <v/>
      </c>
      <c r="N2689" s="6">
        <f>HYPERLINK("http://www.eum.go.kr/web/ar/lu/luLandDet.jsp?pnu=3611038026101820004&amp;isNoScr=script&amp;mode=search", "토지이음")</f>
        <v/>
      </c>
      <c r="O2689" s="3" t="inlineStr">
        <is>
          <t>신안무소</t>
        </is>
      </c>
      <c r="P2689" s="4" t="n">
        <v>1</v>
      </c>
      <c r="Q2689" s="4" t="n">
        <v>3425</v>
      </c>
      <c r="R2689" s="3" t="inlineStr">
        <is>
          <t>지정되지않음</t>
        </is>
      </c>
      <c r="S2689" s="3" t="inlineStr">
        <is>
          <t>전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송곡리 199-58</t>
        </is>
      </c>
      <c r="B2690" s="3" t="inlineStr">
        <is>
          <t>보전관리지역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18000</v>
      </c>
      <c r="G2690" s="4" t="n">
        <v>600</v>
      </c>
      <c r="H2690" s="4" t="n">
        <v>182</v>
      </c>
      <c r="I2690" s="5" t="n">
        <v>98.90000000000001</v>
      </c>
      <c r="J2690" s="5" t="n">
        <v>14</v>
      </c>
      <c r="K2690" s="3" t="inlineStr">
        <is>
          <t>급매. 개발 완료된 전원주택지</t>
        </is>
      </c>
      <c r="L2690" s="6">
        <f>HYPERLINK("https://fin.land.naver.com/articles/2655762123", "매물Link")</f>
        <v/>
      </c>
      <c r="M2690" s="6">
        <f>HYPERLINK("https://map.naver.com/p/search/전동면 송곡리 199-58", "지도Link")</f>
        <v/>
      </c>
      <c r="N2690" s="6">
        <f>HYPERLINK("http://www.eum.go.kr/web/ar/lu/luLandDet.jsp?pnu=3611038026101990058&amp;isNoScr=script&amp;mode=search", "토지이음")</f>
        <v/>
      </c>
      <c r="O2690" s="3" t="inlineStr">
        <is>
          <t>세종소담114</t>
        </is>
      </c>
      <c r="P2690" s="4" t="n">
        <v>1</v>
      </c>
      <c r="Q2690" s="4" t="n">
        <v>600</v>
      </c>
      <c r="R2690" s="3" t="inlineStr">
        <is>
          <t>지정되지않음</t>
        </is>
      </c>
      <c r="S2690" s="3" t="inlineStr">
        <is>
          <t>전기타</t>
        </is>
      </c>
      <c r="T2690" s="3" t="inlineStr">
        <is>
          <t>완경사</t>
        </is>
      </c>
      <c r="U2690" s="3" t="inlineStr">
        <is>
          <t>세로장방</t>
        </is>
      </c>
      <c r="V2690" s="3" t="inlineStr">
        <is>
          <t>맹지</t>
        </is>
      </c>
    </row>
    <row r="2691">
      <c r="A2691" s="3" t="inlineStr">
        <is>
          <t>전동면 송곡리 199-59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15000</v>
      </c>
      <c r="G2691" s="4" t="n">
        <v>600</v>
      </c>
      <c r="H2691" s="4" t="n">
        <v>182</v>
      </c>
      <c r="I2691" s="5" t="n">
        <v>82.40000000000001</v>
      </c>
      <c r="J2691" s="5" t="n">
        <v>14</v>
      </c>
      <c r="K2691" s="3" t="inlineStr">
        <is>
          <t>급매추천, 개발 완료된 전원주택지</t>
        </is>
      </c>
      <c r="L2691" s="6">
        <f>HYPERLINK("https://fin.land.naver.com/articles/2655762278", "매물Link")</f>
        <v/>
      </c>
      <c r="M2691" s="6">
        <f>HYPERLINK("https://map.naver.com/p/search/전동면 송곡리 199-59", "지도Link")</f>
        <v/>
      </c>
      <c r="N2691" s="6">
        <f>HYPERLINK("http://www.eum.go.kr/web/ar/lu/luLandDet.jsp?pnu=3611038026101990059&amp;isNoScr=script&amp;mode=search", "토지이음")</f>
        <v/>
      </c>
      <c r="O2691" s="3" t="inlineStr">
        <is>
          <t>세종소담114</t>
        </is>
      </c>
      <c r="P2691" s="4" t="n">
        <v>1</v>
      </c>
      <c r="Q2691" s="4" t="n">
        <v>600</v>
      </c>
      <c r="R2691" s="3" t="inlineStr">
        <is>
          <t>지정되지않음</t>
        </is>
      </c>
      <c r="S2691" s="3" t="inlineStr">
        <is>
          <t>전기타</t>
        </is>
      </c>
      <c r="T2691" s="3" t="inlineStr">
        <is>
          <t>완경사</t>
        </is>
      </c>
      <c r="U2691" s="3" t="inlineStr">
        <is>
          <t>세로장방</t>
        </is>
      </c>
      <c r="V2691" s="3" t="inlineStr">
        <is>
          <t>맹지</t>
        </is>
      </c>
    </row>
    <row r="2692">
      <c r="A2692" s="3" t="inlineStr">
        <is>
          <t>전동면 송곡리 199-74</t>
        </is>
      </c>
      <c r="B2692" s="3" t="inlineStr">
        <is>
          <t>보전관리지역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15000</v>
      </c>
      <c r="G2692" s="4" t="n">
        <v>620</v>
      </c>
      <c r="H2692" s="4" t="n">
        <v>188</v>
      </c>
      <c r="I2692" s="5" t="n">
        <v>79.8</v>
      </c>
      <c r="J2692" s="5" t="n">
        <v>4.1</v>
      </c>
      <c r="K2692" s="3" t="inlineStr">
        <is>
          <t>송곡리 조성 마친 반듯한 전원주택지. 여러 필지 매매도 가능해요.</t>
        </is>
      </c>
      <c r="L2692" s="6">
        <f>HYPERLINK("https://fin.land.naver.com/articles/2655448658", "매물Link")</f>
        <v/>
      </c>
      <c r="M2692" s="6">
        <f>HYPERLINK("https://map.naver.com/p/search/전동면 송곡리 199-74", "지도Link")</f>
        <v/>
      </c>
      <c r="N2692" s="6">
        <f>HYPERLINK("http://www.eum.go.kr/web/ar/lu/luLandDet.jsp?pnu=3611038026101990074&amp;isNoScr=script&amp;mode=search", "토지이음")</f>
        <v/>
      </c>
      <c r="O2692" s="3" t="inlineStr">
        <is>
          <t>코뿔소 합동</t>
        </is>
      </c>
      <c r="P2692" s="4" t="n">
        <v>1</v>
      </c>
      <c r="Q2692" s="4" t="n">
        <v>2480</v>
      </c>
      <c r="R2692" s="3" t="inlineStr">
        <is>
          <t>지정되지않음</t>
        </is>
      </c>
      <c r="S2692" s="3" t="inlineStr">
        <is>
          <t>자연림</t>
        </is>
      </c>
      <c r="T2692" s="3" t="inlineStr">
        <is>
          <t>급경사</t>
        </is>
      </c>
      <c r="U2692" s="3" t="inlineStr">
        <is>
          <t>사다리형</t>
        </is>
      </c>
      <c r="V2692" s="3" t="inlineStr">
        <is>
          <t>맹지</t>
        </is>
      </c>
    </row>
    <row r="2693">
      <c r="A2693" s="3" t="inlineStr">
        <is>
          <t>전동면 송곡리 35-5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51000</v>
      </c>
      <c r="G2693" s="4" t="n">
        <v>700</v>
      </c>
      <c r="H2693" s="4" t="n">
        <v>212</v>
      </c>
      <c r="I2693" s="5" t="n">
        <v>240.6</v>
      </c>
      <c r="J2693" s="5" t="n">
        <v>28.5</v>
      </c>
      <c r="K2693" s="3" t="inlineStr">
        <is>
          <t>nan</t>
        </is>
      </c>
      <c r="L2693" s="6">
        <f>HYPERLINK("https://fin.land.naver.com/articles/2653157710", "매물Link")</f>
        <v/>
      </c>
      <c r="M2693" s="6">
        <f>HYPERLINK("https://map.naver.com/p/search/전동면 송곡리 35-5", "지도Link")</f>
        <v/>
      </c>
      <c r="N2693" s="6">
        <f>HYPERLINK("http://www.eum.go.kr/web/ar/lu/luLandDet.jsp?pnu=3611038026100350005&amp;isNoScr=script&amp;mode=search",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700</v>
      </c>
      <c r="R2693" s="3" t="inlineStr">
        <is>
          <t>지정되지않음</t>
        </is>
      </c>
      <c r="S2693" s="3" t="inlineStr">
        <is>
          <t>전기타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송곡리 68-5</t>
        </is>
      </c>
      <c r="B2694" s="3" t="inlineStr">
        <is>
          <t>생산관리지역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16000</v>
      </c>
      <c r="G2694" s="4" t="n">
        <v>679</v>
      </c>
      <c r="H2694" s="4" t="n">
        <v>205</v>
      </c>
      <c r="I2694" s="5" t="n">
        <v>78</v>
      </c>
      <c r="J2694" s="5" t="n">
        <v>21.7</v>
      </c>
      <c r="K2694" s="3" t="inlineStr">
        <is>
          <t>주택용으로 너무 좋아요</t>
        </is>
      </c>
      <c r="L2694" s="6">
        <f>HYPERLINK("https://fin.land.naver.com/articles/2654846610", "매물Link")</f>
        <v/>
      </c>
      <c r="M2694" s="6">
        <f>HYPERLINK("https://map.naver.com/p/search/전동면 송곡리 68-5", "지도Link")</f>
        <v/>
      </c>
      <c r="N2694" s="6">
        <f>HYPERLINK("http://www.eum.go.kr/web/ar/lu/luLandDet.jsp?pnu=3611038026100680005&amp;isNoScr=script&amp;mode=search", "토지이음")</f>
        <v/>
      </c>
      <c r="O2694" s="3" t="inlineStr">
        <is>
          <t>세종리츠</t>
        </is>
      </c>
      <c r="P2694" s="4" t="n">
        <v>2</v>
      </c>
      <c r="Q2694" s="4" t="n">
        <v>679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송곡리 9</t>
        </is>
      </c>
      <c r="B2695" s="3" t="inlineStr">
        <is>
          <t>계획관리지역</t>
        </is>
      </c>
      <c r="C2695" s="3" t="inlineStr">
        <is>
          <t>목장용지</t>
        </is>
      </c>
      <c r="D2695" s="3" t="inlineStr">
        <is>
          <t>목장용지</t>
        </is>
      </c>
      <c r="E2695" s="3" t="inlineStr">
        <is>
          <t>매매</t>
        </is>
      </c>
      <c r="F2695" s="4" t="n">
        <v>30000</v>
      </c>
      <c r="G2695" s="4" t="n">
        <v>1255</v>
      </c>
      <c r="H2695" s="4" t="n">
        <v>380</v>
      </c>
      <c r="I2695" s="5" t="n">
        <v>78.90000000000001</v>
      </c>
      <c r="J2695" s="5" t="n">
        <v>22.2</v>
      </c>
      <c r="K2695" s="3" t="inlineStr">
        <is>
          <t>도로접한 계획관리토지,개발,주택,창고부지</t>
        </is>
      </c>
      <c r="L2695" s="6">
        <f>HYPERLINK("https://fin.land.naver.com/articles/2650859608", "매물Link")</f>
        <v/>
      </c>
      <c r="M2695" s="6">
        <f>HYPERLINK("https://map.naver.com/p/search/전동면 송곡리 9", "지도Link")</f>
        <v/>
      </c>
      <c r="N2695" s="6">
        <f>HYPERLINK("http://www.eum.go.kr/web/ar/lu/luLandDet.jsp?pnu=3611038026100090000&amp;isNoScr=script&amp;mode=search",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1255</v>
      </c>
      <c r="R2695" s="3" t="inlineStr">
        <is>
          <t>지정되지않음</t>
        </is>
      </c>
      <c r="S2695" s="3" t="inlineStr">
        <is>
          <t>전기타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송곡리 90-2</t>
        </is>
      </c>
      <c r="B2696" s="3" t="inlineStr">
        <is>
          <t>생산관리지역</t>
        </is>
      </c>
      <c r="C2696" s="3" t="inlineStr">
        <is>
          <t>과수원</t>
        </is>
      </c>
      <c r="D2696" s="3" t="inlineStr">
        <is>
          <t>과수원</t>
        </is>
      </c>
      <c r="E2696" s="3" t="inlineStr">
        <is>
          <t>매매</t>
        </is>
      </c>
      <c r="F2696" s="4" t="n">
        <v>33000</v>
      </c>
      <c r="G2696" s="4" t="n">
        <v>1059</v>
      </c>
      <c r="H2696" s="4" t="n">
        <v>320</v>
      </c>
      <c r="I2696" s="5" t="n">
        <v>103.1</v>
      </c>
      <c r="J2696" s="5" t="n">
        <v>26.1</v>
      </c>
      <c r="K2696" s="3" t="inlineStr">
        <is>
          <t>nan</t>
        </is>
      </c>
      <c r="L2696" s="6">
        <f>HYPERLINK("https://fin.land.naver.com/articles/2655744307", "매물Link")</f>
        <v/>
      </c>
      <c r="M2696" s="6">
        <f>HYPERLINK("https://map.naver.com/p/search/전동면 송곡리 90-2", "지도Link")</f>
        <v/>
      </c>
      <c r="N2696" s="6">
        <f>HYPERLINK("http://www.eum.go.kr/web/ar/lu/luLandDet.jsp?pnu=3611038026100900002&amp;isNoScr=script&amp;mode=search",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1059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송곡리 95-2</t>
        </is>
      </c>
      <c r="B2697" s="3" t="inlineStr">
        <is>
          <t>생산관리지역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195900</v>
      </c>
      <c r="G2697" s="4" t="n">
        <v>4317</v>
      </c>
      <c r="H2697" s="4" t="n">
        <v>1306</v>
      </c>
      <c r="I2697" s="5" t="n">
        <v>150</v>
      </c>
      <c r="J2697" s="5" t="n">
        <v>34.8</v>
      </c>
      <c r="K2697" s="3" t="inlineStr">
        <is>
          <t>nan</t>
        </is>
      </c>
      <c r="L2697" s="6">
        <f>HYPERLINK("https://fin.land.naver.com/articles/2653501166", "매물Link")</f>
        <v/>
      </c>
      <c r="M2697" s="6">
        <f>HYPERLINK("https://map.naver.com/p/search/전동면 송곡리 95-2", "지도Link")</f>
        <v/>
      </c>
      <c r="N2697" s="6">
        <f>HYPERLINK("http://www.eum.go.kr/web/ar/lu/luLandDet.jsp?pnu=3611038026100950002&amp;isNoScr=script&amp;mode=search", "토지이음")</f>
        <v/>
      </c>
      <c r="O2697" s="3" t="inlineStr">
        <is>
          <t>연서</t>
        </is>
      </c>
      <c r="P2697" s="4" t="n">
        <v>1</v>
      </c>
      <c r="Q2697" s="4" t="n">
        <v>3657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송성리 169-1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30200</v>
      </c>
      <c r="G2698" s="4" t="n">
        <v>834</v>
      </c>
      <c r="H2698" s="4" t="n">
        <v>252</v>
      </c>
      <c r="I2698" s="5" t="n">
        <v>119.8</v>
      </c>
      <c r="J2698" s="5" t="n">
        <v>37.7</v>
      </c>
      <c r="K2698" s="3" t="inlineStr">
        <is>
          <t>4m도로접,전원주택지 추천</t>
        </is>
      </c>
      <c r="L2698" s="6">
        <f>HYPERLINK("https://fin.land.naver.com/articles/2654058352", "매물Link")</f>
        <v/>
      </c>
      <c r="M2698" s="6">
        <f>HYPERLINK("https://map.naver.com/p/search/전동면 송성리 169-1", "지도Link")</f>
        <v/>
      </c>
      <c r="N2698" s="6">
        <f>HYPERLINK("http://www.eum.go.kr/web/ar/lu/luLandDet.jsp?pnu=3611038030101690001&amp;isNoScr=script&amp;mode=search", "토지이음")</f>
        <v/>
      </c>
      <c r="O2698" s="3" t="inlineStr">
        <is>
          <t>다사현대대복</t>
        </is>
      </c>
      <c r="P2698" s="4" t="n">
        <v>1</v>
      </c>
      <c r="Q2698" s="4" t="n">
        <v>834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송성리 368-3</t>
        </is>
      </c>
      <c r="B2699" s="3" t="inlineStr">
        <is>
          <t>농림지역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26080</v>
      </c>
      <c r="G2699" s="4" t="n">
        <v>1077</v>
      </c>
      <c r="H2699" s="4" t="n">
        <v>326</v>
      </c>
      <c r="I2699" s="5" t="n">
        <v>80</v>
      </c>
      <c r="J2699" s="5" t="n">
        <v>13.9</v>
      </c>
      <c r="K2699" s="3" t="inlineStr">
        <is>
          <t>농막 설치된 2차선 도로에 접한 주말농장용 토지</t>
        </is>
      </c>
      <c r="L2699" s="6">
        <f>HYPERLINK("https://fin.land.naver.com/articles/2652065927", "매물Link")</f>
        <v/>
      </c>
      <c r="M2699" s="6">
        <f>HYPERLINK("https://map.naver.com/p/search/전동면 송성리 368-3", "지도Link")</f>
        <v/>
      </c>
      <c r="N2699" s="6">
        <f>HYPERLINK("http://www.eum.go.kr/web/ar/lu/luLandDet.jsp?pnu=3611038030103680003&amp;isNoScr=script&amp;mode=search", "토지이음")</f>
        <v/>
      </c>
      <c r="O2699" s="3" t="inlineStr">
        <is>
          <t>신와촌</t>
        </is>
      </c>
      <c r="P2699" s="4" t="n">
        <v>1</v>
      </c>
      <c r="Q2699" s="4" t="n">
        <v>1077</v>
      </c>
      <c r="R2699" s="3" t="inlineStr">
        <is>
          <t>지정되지않음</t>
        </is>
      </c>
      <c r="S2699" s="3" t="inlineStr">
        <is>
          <t>답</t>
        </is>
      </c>
      <c r="T2699" s="3" t="inlineStr">
        <is>
          <t>평지</t>
        </is>
      </c>
      <c r="U2699" s="3" t="inlineStr">
        <is>
          <t>세로장방</t>
        </is>
      </c>
      <c r="V2699" s="3" t="inlineStr">
        <is>
          <t>소로한면</t>
        </is>
      </c>
    </row>
    <row r="2700">
      <c r="A2700" s="3" t="inlineStr">
        <is>
          <t>전동면 송성리 368-3</t>
        </is>
      </c>
      <c r="B2700" s="3" t="inlineStr">
        <is>
          <t>농림지역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32000</v>
      </c>
      <c r="G2700" s="4" t="n">
        <v>1077</v>
      </c>
      <c r="H2700" s="4" t="n">
        <v>326</v>
      </c>
      <c r="I2700" s="5" t="n">
        <v>98.2</v>
      </c>
      <c r="J2700" s="5" t="n">
        <v>13.9</v>
      </c>
      <c r="K2700" s="3" t="inlineStr">
        <is>
          <t>2차선 도로접한 토지 농림지역</t>
        </is>
      </c>
      <c r="L2700" s="6">
        <f>HYPERLINK("https://fin.land.naver.com/articles/2655501486", "매물Link")</f>
        <v/>
      </c>
      <c r="M2700" s="6">
        <f>HYPERLINK("https://map.naver.com/p/search/전동면 송성리 368-3", "지도Link")</f>
        <v/>
      </c>
      <c r="N2700" s="6">
        <f>HYPERLINK("http://www.eum.go.kr/web/ar/lu/luLandDet.jsp?pnu=3611038030103680003&amp;isNoScr=script&amp;mode=search", "토지이음")</f>
        <v/>
      </c>
      <c r="O2700" s="3" t="inlineStr">
        <is>
          <t>한솔</t>
        </is>
      </c>
      <c r="P2700" s="4" t="n">
        <v>2</v>
      </c>
      <c r="Q2700" s="4" t="n">
        <v>1077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세로장방</t>
        </is>
      </c>
      <c r="V2700" s="3" t="inlineStr">
        <is>
          <t>소로한면</t>
        </is>
      </c>
    </row>
    <row r="2701">
      <c r="A2701" s="3" t="inlineStr">
        <is>
          <t>전동면 송성리 438-1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30000</v>
      </c>
      <c r="G2701" s="4" t="n">
        <v>1473</v>
      </c>
      <c r="H2701" s="4" t="n">
        <v>446</v>
      </c>
      <c r="I2701" s="5" t="n">
        <v>67.3</v>
      </c>
      <c r="J2701" s="5" t="n">
        <v>13.8</v>
      </c>
      <c r="K2701" s="3" t="inlineStr">
        <is>
          <t>2차선 도로변에 길게 접한 농지 산가격에 매각해요</t>
        </is>
      </c>
      <c r="L2701" s="6">
        <f>HYPERLINK("https://fin.land.naver.com/articles/2651940996", "매물Link")</f>
        <v/>
      </c>
      <c r="M2701" s="6">
        <f>HYPERLINK("https://map.naver.com/p/search/전동면 송성리 438-1", "지도Link")</f>
        <v/>
      </c>
      <c r="N2701" s="6">
        <f>HYPERLINK("http://www.eum.go.kr/web/ar/lu/luLandDet.jsp?pnu=3611038030104380001&amp;isNoScr=script&amp;mode=search", "토지이음")</f>
        <v/>
      </c>
      <c r="O2701" s="3" t="inlineStr">
        <is>
          <t>용궁</t>
        </is>
      </c>
      <c r="P2701" s="4" t="n">
        <v>2</v>
      </c>
      <c r="Q2701" s="4" t="n">
        <v>1473</v>
      </c>
      <c r="R2701" s="3" t="inlineStr">
        <is>
          <t>지정되지않음</t>
        </is>
      </c>
      <c r="S2701" s="3" t="inlineStr">
        <is>
          <t>과수원</t>
        </is>
      </c>
      <c r="T2701" s="3" t="inlineStr">
        <is>
          <t>평지</t>
        </is>
      </c>
      <c r="U2701" s="3" t="inlineStr">
        <is>
          <t>세로장방</t>
        </is>
      </c>
      <c r="V2701" s="3" t="inlineStr">
        <is>
          <t>소로한면</t>
        </is>
      </c>
    </row>
    <row r="2702">
      <c r="A2702" s="3" t="inlineStr">
        <is>
          <t>전동면 송성리 438-1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30000</v>
      </c>
      <c r="G2702" s="4" t="n">
        <v>1473</v>
      </c>
      <c r="H2702" s="4" t="n">
        <v>446</v>
      </c>
      <c r="I2702" s="5" t="n">
        <v>67.3</v>
      </c>
      <c r="J2702" s="5" t="n">
        <v>13.8</v>
      </c>
      <c r="K2702" s="3" t="inlineStr">
        <is>
          <t>급매.모양 좋은 마을 인근에 있는 답, 농림지역,가격조정가능.</t>
        </is>
      </c>
      <c r="L2702" s="6">
        <f>HYPERLINK("https://fin.land.naver.com/articles/2654979670", "매물Link")</f>
        <v/>
      </c>
      <c r="M2702" s="6">
        <f>HYPERLINK("https://map.naver.com/p/search/전동면 송성리 438-1", "지도Link")</f>
        <v/>
      </c>
      <c r="N2702" s="6">
        <f>HYPERLINK("http://www.eum.go.kr/web/ar/lu/luLandDet.jsp?pnu=3611038030104380001&amp;isNoScr=script&amp;mode=search", "토지이음")</f>
        <v/>
      </c>
      <c r="O2702" s="3" t="inlineStr">
        <is>
          <t>세종일조</t>
        </is>
      </c>
      <c r="P2702" s="4" t="n">
        <v>2</v>
      </c>
      <c r="Q2702" s="4" t="n">
        <v>1473</v>
      </c>
      <c r="R2702" s="3" t="inlineStr">
        <is>
          <t>지정되지않음</t>
        </is>
      </c>
      <c r="S2702" s="3" t="inlineStr">
        <is>
          <t>과수원</t>
        </is>
      </c>
      <c r="T2702" s="3" t="inlineStr">
        <is>
          <t>평지</t>
        </is>
      </c>
      <c r="U2702" s="3" t="inlineStr">
        <is>
          <t>세로장방</t>
        </is>
      </c>
      <c r="V2702" s="3" t="inlineStr">
        <is>
          <t>소로한면</t>
        </is>
      </c>
    </row>
    <row r="2703">
      <c r="A2703" s="3" t="inlineStr">
        <is>
          <t>전동면 송성리 540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50000</v>
      </c>
      <c r="G2703" s="4" t="n">
        <v>4076</v>
      </c>
      <c r="H2703" s="4" t="n">
        <v>1233</v>
      </c>
      <c r="I2703" s="5" t="n">
        <v>40.6</v>
      </c>
      <c r="J2703" s="5" t="n">
        <v>18.8</v>
      </c>
      <c r="K2703" s="3" t="inlineStr">
        <is>
          <t>계획관리와 생산관리 2필지 매매,주변 경관좋고 캠핑장 인접 ,남향토지</t>
        </is>
      </c>
      <c r="L2703" s="6">
        <f>HYPERLINK("https://fin.land.naver.com/articles/2651251766", "매물Link")</f>
        <v/>
      </c>
      <c r="M2703" s="6">
        <f>HYPERLINK("https://map.naver.com/p/search/전동면 송성리 540", "지도Link")</f>
        <v/>
      </c>
      <c r="N2703" s="6">
        <f>HYPERLINK("http://www.eum.go.kr/web/ar/lu/luLandDet.jsp?pnu=3611038030105400000&amp;isNoScr=script&amp;mode=search", "토지이음")</f>
        <v/>
      </c>
      <c r="O2703" s="3" t="inlineStr">
        <is>
          <t>담뜰</t>
        </is>
      </c>
      <c r="P2703" s="4" t="n">
        <v>1</v>
      </c>
      <c r="Q2703" s="4" t="n">
        <v>1111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송성리 545</t>
        </is>
      </c>
      <c r="B2704" s="3" t="inlineStr">
        <is>
          <t>보전관리지역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18500</v>
      </c>
      <c r="G2704" s="4" t="n">
        <v>1074</v>
      </c>
      <c r="H2704" s="4" t="n">
        <v>325</v>
      </c>
      <c r="I2704" s="5" t="n">
        <v>56.9</v>
      </c>
      <c r="J2704" s="5" t="n">
        <v>17</v>
      </c>
      <c r="K2704" s="3" t="inlineStr">
        <is>
          <t>nan</t>
        </is>
      </c>
      <c r="L2704" s="6">
        <f>HYPERLINK("https://fin.land.naver.com/articles/2653069164", "매물Link")</f>
        <v/>
      </c>
      <c r="M2704" s="6">
        <f>HYPERLINK("https://map.naver.com/p/search/전동면 송성리 545", "지도Link")</f>
        <v/>
      </c>
      <c r="N2704" s="6">
        <f>HYPERLINK("http://www.eum.go.kr/web/ar/lu/luLandDet.jsp?pnu=3611038030105450000&amp;isNoScr=script&amp;mode=search", "토지이음")</f>
        <v/>
      </c>
      <c r="O2704" s="3" t="inlineStr">
        <is>
          <t>세종땅사랑</t>
        </is>
      </c>
      <c r="P2704" s="4" t="n">
        <v>1</v>
      </c>
      <c r="Q2704" s="4" t="n">
        <v>1074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송성리 550-2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32500</v>
      </c>
      <c r="G2705" s="4" t="n">
        <v>2710</v>
      </c>
      <c r="H2705" s="4" t="n">
        <v>820</v>
      </c>
      <c r="I2705" s="5" t="n">
        <v>39.6</v>
      </c>
      <c r="J2705" s="5" t="n">
        <v>27.1</v>
      </c>
      <c r="K2705" s="3" t="inlineStr">
        <is>
          <t>세종시 토지 급매물</t>
        </is>
      </c>
      <c r="L2705" s="6">
        <f>HYPERLINK("https://fin.land.naver.com/articles/2651247075", "매물Link")</f>
        <v/>
      </c>
      <c r="M2705" s="6">
        <f>HYPERLINK("https://map.naver.com/p/search/전동면 송성리 550-2", "지도Link")</f>
        <v/>
      </c>
      <c r="N2705" s="6">
        <f>HYPERLINK("http://www.eum.go.kr/web/ar/lu/luLandDet.jsp?pnu=3611038030105500002&amp;isNoScr=script&amp;mode=search", "토지이음")</f>
        <v/>
      </c>
      <c r="O2705" s="3" t="inlineStr">
        <is>
          <t>세종토박이</t>
        </is>
      </c>
      <c r="P2705" s="4" t="n">
        <v>1</v>
      </c>
      <c r="Q2705" s="4" t="n">
        <v>942</v>
      </c>
      <c r="R2705" s="3" t="inlineStr">
        <is>
          <t>지정되지않음</t>
        </is>
      </c>
      <c r="S2705" s="3" t="inlineStr">
        <is>
          <t>주거나지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송성리 56</t>
        </is>
      </c>
      <c r="B2706" s="3" t="inlineStr">
        <is>
          <t>생산관리지역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70000</v>
      </c>
      <c r="G2706" s="4" t="n">
        <v>2483</v>
      </c>
      <c r="H2706" s="4" t="n">
        <v>751</v>
      </c>
      <c r="I2706" s="5" t="n">
        <v>93.2</v>
      </c>
      <c r="J2706" s="5" t="n">
        <v>19.2</v>
      </c>
      <c r="K2706" s="3" t="inlineStr">
        <is>
          <t>송성2리마을 초입 도로 접한 토지매매</t>
        </is>
      </c>
      <c r="L2706" s="6">
        <f>HYPERLINK("https://fin.land.naver.com/articles/2655174786", "매물Link")</f>
        <v/>
      </c>
      <c r="M2706" s="6">
        <f>HYPERLINK("https://map.naver.com/p/search/전동면 송성리 56", "지도Link")</f>
        <v/>
      </c>
      <c r="N2706" s="6">
        <f>HYPERLINK("http://www.eum.go.kr/web/ar/lu/luLandDet.jsp?pnu=3611038030100560000&amp;isNoScr=script&amp;mode=search", "토지이음")</f>
        <v/>
      </c>
      <c r="O2706" s="3" t="inlineStr">
        <is>
          <t>에이스</t>
        </is>
      </c>
      <c r="P2706" s="4" t="n">
        <v>1</v>
      </c>
      <c r="Q2706" s="4" t="n">
        <v>2483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송성리 606-2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30000</v>
      </c>
      <c r="G2707" s="4" t="n">
        <v>1399</v>
      </c>
      <c r="H2707" s="4" t="n">
        <v>423</v>
      </c>
      <c r="I2707" s="5" t="n">
        <v>70.90000000000001</v>
      </c>
      <c r="J2707" s="5" t="n">
        <v>17.3</v>
      </c>
      <c r="K2707" s="3" t="inlineStr">
        <is>
          <t>남동향,조망권있는약간높은지대,투자성양호</t>
        </is>
      </c>
      <c r="L2707" s="6">
        <f>HYPERLINK("https://fin.land.naver.com/articles/2654101170", "매물Link")</f>
        <v/>
      </c>
      <c r="M2707" s="6">
        <f>HYPERLINK("https://map.naver.com/p/search/전동면 송성리 606-2", "지도Link")</f>
        <v/>
      </c>
      <c r="N2707" s="6">
        <f>HYPERLINK("http://www.eum.go.kr/web/ar/lu/luLandDet.jsp?pnu=3611038030106060002&amp;isNoScr=script&amp;mode=search", "토지이음")</f>
        <v/>
      </c>
      <c r="O2707" s="3" t="inlineStr">
        <is>
          <t>행복가득한</t>
        </is>
      </c>
      <c r="P2707" s="4" t="n">
        <v>1</v>
      </c>
      <c r="Q2707" s="4" t="n">
        <v>1399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송성리 산101-2</t>
        </is>
      </c>
      <c r="B2708" s="3" t="inlineStr">
        <is>
          <t>보전관리지역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150000</v>
      </c>
      <c r="G2708" s="4" t="n">
        <v>12893</v>
      </c>
      <c r="H2708" s="4" t="n">
        <v>3900</v>
      </c>
      <c r="I2708" s="5" t="n">
        <v>38.5</v>
      </c>
      <c r="J2708" s="5" t="n">
        <v>5</v>
      </c>
      <c r="K2708" s="3" t="inlineStr">
        <is>
          <t>nan</t>
        </is>
      </c>
      <c r="L2708" s="6">
        <f>HYPERLINK("https://fin.land.naver.com/articles/2655797455", "매물Link")</f>
        <v/>
      </c>
      <c r="M2708" s="6">
        <f>HYPERLINK("https://map.naver.com/p/search/전동면 송성리 산101-2", "지도Link")</f>
        <v/>
      </c>
      <c r="N2708" s="6">
        <f>HYPERLINK("http://www.eum.go.kr/web/ar/lu/luLandDet.jsp?pnu=3611038030201010002&amp;isNoScr=script&amp;mode=search", "토지이음")</f>
        <v/>
      </c>
      <c r="O2708" s="3" t="inlineStr">
        <is>
          <t>일등</t>
        </is>
      </c>
      <c r="P2708" s="4" t="n">
        <v>1</v>
      </c>
      <c r="Q2708" s="4" t="n">
        <v>12893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전동면 송성리 산146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400000</v>
      </c>
      <c r="G2709" s="4" t="n">
        <v>29058</v>
      </c>
      <c r="H2709" s="4" t="n">
        <v>8790</v>
      </c>
      <c r="I2709" s="5" t="n">
        <v>45.5</v>
      </c>
      <c r="J2709" s="5" t="n">
        <v>3.5</v>
      </c>
      <c r="K2709" s="3" t="inlineStr">
        <is>
          <t>세종시 전동면 송성리 도로변 계획관리 토지 매매</t>
        </is>
      </c>
      <c r="L2709" s="6">
        <f>HYPERLINK("https://fin.land.naver.com/articles/2654247152", "매물Link")</f>
        <v/>
      </c>
      <c r="M2709" s="6">
        <f>HYPERLINK("https://map.naver.com/p/search/전동면 송성리 산146", "지도Link")</f>
        <v/>
      </c>
      <c r="N2709" s="6">
        <f>HYPERLINK("http://www.eum.go.kr/web/ar/lu/luLandDet.jsp?pnu=3611038030201460000&amp;isNoScr=script&amp;mode=search", "토지이음")</f>
        <v/>
      </c>
      <c r="O2709" s="3" t="inlineStr">
        <is>
          <t>비전</t>
        </is>
      </c>
      <c r="P2709" s="4" t="n">
        <v>1</v>
      </c>
      <c r="Q2709" s="4" t="n">
        <v>29058</v>
      </c>
      <c r="R2709" s="3" t="inlineStr">
        <is>
          <t>계획관리지역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전동면 송성리 산43</t>
        </is>
      </c>
      <c r="B2710" s="3" t="inlineStr">
        <is>
          <t>농림지역</t>
        </is>
      </c>
      <c r="C2710" s="3" t="inlineStr">
        <is>
          <t>임야</t>
        </is>
      </c>
      <c r="D2710" s="3" t="inlineStr">
        <is>
          <t>임야</t>
        </is>
      </c>
      <c r="E2710" s="3" t="inlineStr">
        <is>
          <t>매매</t>
        </is>
      </c>
      <c r="F2710" s="4" t="n">
        <v>53000</v>
      </c>
      <c r="G2710" s="4" t="n">
        <v>29455</v>
      </c>
      <c r="H2710" s="4" t="n">
        <v>8910</v>
      </c>
      <c r="I2710" s="5" t="n">
        <v>5.9</v>
      </c>
      <c r="J2710" s="5" t="n">
        <v>1.3</v>
      </c>
      <c r="K2710" s="3" t="inlineStr">
        <is>
          <t>전동면 송성리 임야 매우 저렴한 투자물건</t>
        </is>
      </c>
      <c r="L2710" s="6">
        <f>HYPERLINK("https://fin.land.naver.com/articles/2650954190", "매물Link")</f>
        <v/>
      </c>
      <c r="M2710" s="6">
        <f>HYPERLINK("https://map.naver.com/p/search/전동면 송성리 산43", "지도Link")</f>
        <v/>
      </c>
      <c r="N2710" s="6">
        <f>HYPERLINK("http://www.eum.go.kr/web/ar/lu/luLandDet.jsp?pnu=3611038030200430000&amp;isNoScr=script&amp;mode=search", "토지이음")</f>
        <v/>
      </c>
      <c r="O2710" s="3" t="inlineStr">
        <is>
          <t>다산</t>
        </is>
      </c>
      <c r="P2710" s="4" t="n">
        <v>1</v>
      </c>
      <c r="Q2710" s="4" t="n">
        <v>29455</v>
      </c>
      <c r="R2710" s="3" t="inlineStr">
        <is>
          <t>지정되지않음</t>
        </is>
      </c>
      <c r="S2710" s="3" t="inlineStr">
        <is>
          <t>자연림</t>
        </is>
      </c>
      <c r="T2710" s="3" t="inlineStr">
        <is>
          <t>급경사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전동면 송성리 산87-7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39600</v>
      </c>
      <c r="G2711" s="4" t="n">
        <v>21818</v>
      </c>
      <c r="H2711" s="4" t="n">
        <v>6600</v>
      </c>
      <c r="I2711" s="5" t="n">
        <v>6</v>
      </c>
      <c r="J2711" s="5" t="n">
        <v>1.3</v>
      </c>
      <c r="K2711" s="3" t="inlineStr">
        <is>
          <t>nan</t>
        </is>
      </c>
      <c r="L2711" s="6">
        <f>HYPERLINK("https://fin.land.naver.com/articles/2654847912", "매물Link")</f>
        <v/>
      </c>
      <c r="M2711" s="6">
        <f>HYPERLINK("https://map.naver.com/p/search/전동면 송성리 산87-7", "지도Link")</f>
        <v/>
      </c>
      <c r="N2711" s="6">
        <f>HYPERLINK("http://www.eum.go.kr/web/ar/lu/luLandDet.jsp?pnu=3611038030200870007&amp;isNoScr=script&amp;mode=search", "토지이음")</f>
        <v/>
      </c>
      <c r="O2711" s="3" t="inlineStr">
        <is>
          <t>세종대평</t>
        </is>
      </c>
      <c r="P2711" s="4" t="n">
        <v>1</v>
      </c>
      <c r="Q2711" s="4" t="n">
        <v>21818</v>
      </c>
      <c r="R2711" s="3" t="inlineStr">
        <is>
          <t>보전관리지역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송정리 117-11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60000</v>
      </c>
      <c r="G2712" s="4" t="n">
        <v>3627</v>
      </c>
      <c r="H2712" s="4" t="n">
        <v>1097</v>
      </c>
      <c r="I2712" s="5" t="n">
        <v>54.7</v>
      </c>
      <c r="J2712" s="5" t="n">
        <v>18.3</v>
      </c>
      <c r="K2712" s="3" t="inlineStr">
        <is>
          <t>급매, 도로접함</t>
        </is>
      </c>
      <c r="L2712" s="6">
        <f>HYPERLINK("https://fin.land.naver.com/articles/2653750331", "매물Link")</f>
        <v/>
      </c>
      <c r="M2712" s="6">
        <f>HYPERLINK("https://map.naver.com/p/search/전동면 송정리 117-11", "지도Link")</f>
        <v/>
      </c>
      <c r="N2712" s="6">
        <f>HYPERLINK("http://www.eum.go.kr/web/ar/lu/luLandDet.jsp?pnu=3611038027101170011&amp;isNoScr=script&amp;mode=search", "토지이음")</f>
        <v/>
      </c>
      <c r="O2712" s="3" t="inlineStr">
        <is>
          <t>덕천</t>
        </is>
      </c>
      <c r="P2712" s="4" t="n">
        <v>1</v>
      </c>
      <c r="Q2712" s="4" t="n">
        <v>3627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송정리 117-2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60000</v>
      </c>
      <c r="G2713" s="4" t="n">
        <v>3627</v>
      </c>
      <c r="H2713" s="4" t="n">
        <v>1097</v>
      </c>
      <c r="I2713" s="5" t="n">
        <v>54.7</v>
      </c>
      <c r="J2713" s="5" t="n">
        <v>21.7</v>
      </c>
      <c r="K2713" s="3" t="inlineStr">
        <is>
          <t>급매, 도로접함</t>
        </is>
      </c>
      <c r="L2713" s="6">
        <f>HYPERLINK("https://fin.land.naver.com/articles/2653749883", "매물Link")</f>
        <v/>
      </c>
      <c r="M2713" s="6">
        <f>HYPERLINK("https://map.naver.com/p/search/전동면 송정리 117-2", "지도Link")</f>
        <v/>
      </c>
      <c r="N2713" s="6">
        <f>HYPERLINK("http://www.eum.go.kr/web/ar/lu/luLandDet.jsp?pnu=3611038027101170002&amp;isNoScr=script&amp;mode=search", "토지이음")</f>
        <v/>
      </c>
      <c r="O2713" s="3" t="inlineStr">
        <is>
          <t>덕천</t>
        </is>
      </c>
      <c r="P2713" s="4" t="n">
        <v>1</v>
      </c>
      <c r="Q2713" s="4" t="n">
        <v>3627</v>
      </c>
      <c r="R2713" s="3" t="inlineStr">
        <is>
          <t>지정되지않음</t>
        </is>
      </c>
      <c r="S2713" s="3" t="inlineStr">
        <is>
          <t>과수원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소로각지</t>
        </is>
      </c>
    </row>
    <row r="2714">
      <c r="A2714" s="3" t="inlineStr">
        <is>
          <t>전동면 송정리 149</t>
        </is>
      </c>
      <c r="B2714" s="3" t="inlineStr">
        <is>
          <t>계획관리지역</t>
        </is>
      </c>
      <c r="C2714" s="3" t="inlineStr">
        <is>
          <t>대</t>
        </is>
      </c>
      <c r="D2714" s="3" t="inlineStr">
        <is>
          <t>대</t>
        </is>
      </c>
      <c r="E2714" s="3" t="inlineStr">
        <is>
          <t>매매</t>
        </is>
      </c>
      <c r="F2714" s="4" t="n">
        <v>21000</v>
      </c>
      <c r="G2714" s="4" t="n">
        <v>873</v>
      </c>
      <c r="H2714" s="4" t="n">
        <v>264</v>
      </c>
      <c r="I2714" s="5" t="n">
        <v>79.5</v>
      </c>
      <c r="J2714" s="5" t="n">
        <v>35.1</v>
      </c>
      <c r="K2714" s="3" t="inlineStr">
        <is>
          <t>송정리 대지 매매</t>
        </is>
      </c>
      <c r="L2714" s="6">
        <f>HYPERLINK("https://fin.land.naver.com/articles/2655665436", "매물Link")</f>
        <v/>
      </c>
      <c r="M2714" s="6">
        <f>HYPERLINK("https://map.naver.com/p/search/전동면 송정리 149", "지도Link")</f>
        <v/>
      </c>
      <c r="N2714" s="6">
        <f>HYPERLINK("http://www.eum.go.kr/web/ar/lu/luLandDet.jsp?pnu=3611038027101490000&amp;isNoScr=script&amp;mode=search", "토지이음")</f>
        <v/>
      </c>
      <c r="O2714" s="3" t="inlineStr">
        <is>
          <t>상희</t>
        </is>
      </c>
      <c r="P2714" s="4" t="n">
        <v>1</v>
      </c>
      <c r="Q2714" s="4" t="n">
        <v>873</v>
      </c>
      <c r="R2714" s="3" t="inlineStr">
        <is>
          <t>지정되지않음</t>
        </is>
      </c>
      <c r="S2714" s="3" t="inlineStr">
        <is>
          <t>단독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송정리 202-1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33700</v>
      </c>
      <c r="G2715" s="4" t="n">
        <v>1392</v>
      </c>
      <c r="H2715" s="4" t="n">
        <v>421</v>
      </c>
      <c r="I2715" s="5" t="n">
        <v>80</v>
      </c>
      <c r="J2715" s="5" t="n">
        <v>27.6</v>
      </c>
      <c r="K2715" s="3" t="inlineStr">
        <is>
          <t>계획관리 평당80만원 도로접</t>
        </is>
      </c>
      <c r="L2715" s="6">
        <f>HYPERLINK("https://fin.land.naver.com/articles/2654237430", "매물Link")</f>
        <v/>
      </c>
      <c r="M2715" s="6">
        <f>HYPERLINK("https://map.naver.com/p/search/전동면 송정리 202-1", "지도Link")</f>
        <v/>
      </c>
      <c r="N2715" s="6">
        <f>HYPERLINK("http://www.eum.go.kr/web/ar/lu/luLandDet.jsp?pnu=3611038027102020001&amp;isNoScr=script&amp;mode=search",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1071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송정리 203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150000</v>
      </c>
      <c r="G2716" s="4" t="n">
        <v>5005</v>
      </c>
      <c r="H2716" s="4" t="n">
        <v>1514</v>
      </c>
      <c r="I2716" s="5" t="n">
        <v>99.09999999999999</v>
      </c>
      <c r="J2716" s="5" t="n">
        <v>32.3</v>
      </c>
      <c r="K2716" s="3" t="inlineStr">
        <is>
          <t>송정리 공장토지 매매 공장 사용 가능</t>
        </is>
      </c>
      <c r="L2716" s="6">
        <f>HYPERLINK("https://fin.land.naver.com/articles/2653160540", "매물Link")</f>
        <v/>
      </c>
      <c r="M2716" s="6">
        <f>HYPERLINK("https://map.naver.com/p/search/전동면 송정리 203", "지도Link")</f>
        <v/>
      </c>
      <c r="N2716" s="6">
        <f>HYPERLINK("http://www.eum.go.kr/web/ar/lu/luLandDet.jsp?pnu=3611038027102030000&amp;isNoScr=script&amp;mode=search", "토지이음")</f>
        <v/>
      </c>
      <c r="O2716" s="3" t="inlineStr">
        <is>
          <t>스타트</t>
        </is>
      </c>
      <c r="P2716" s="4" t="n">
        <v>1</v>
      </c>
      <c r="Q2716" s="4" t="n">
        <v>4504</v>
      </c>
      <c r="R2716" s="3" t="inlineStr">
        <is>
          <t>지정되지않음</t>
        </is>
      </c>
      <c r="S2716" s="3" t="inlineStr">
        <is>
          <t>답축사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송정리 261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25000</v>
      </c>
      <c r="G2717" s="4" t="n">
        <v>983</v>
      </c>
      <c r="H2717" s="4" t="n">
        <v>297</v>
      </c>
      <c r="I2717" s="5" t="n">
        <v>84.2</v>
      </c>
      <c r="J2717" s="5" t="n">
        <v>22.2</v>
      </c>
      <c r="K2717" s="3" t="inlineStr">
        <is>
          <t>고복저수지인근 2차선도로접 개발하기 좋은땅</t>
        </is>
      </c>
      <c r="L2717" s="6">
        <f>HYPERLINK("https://fin.land.naver.com/articles/2652292751", "매물Link")</f>
        <v/>
      </c>
      <c r="M2717" s="6">
        <f>HYPERLINK("https://map.naver.com/p/search/전동면 송정리 261", "지도Link")</f>
        <v/>
      </c>
      <c r="N2717" s="6">
        <f>HYPERLINK("http://www.eum.go.kr/web/ar/lu/luLandDet.jsp?pnu=3611038027102610000&amp;isNoScr=script&amp;mode=search", "토지이음")</f>
        <v/>
      </c>
      <c r="O2717" s="3" t="inlineStr">
        <is>
          <t>세종강남</t>
        </is>
      </c>
      <c r="P2717" s="4" t="n">
        <v>1</v>
      </c>
      <c r="Q2717" s="4" t="n">
        <v>983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소로한면</t>
        </is>
      </c>
    </row>
    <row r="2718">
      <c r="A2718" s="3" t="inlineStr">
        <is>
          <t>전동면 송정리 268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62000</v>
      </c>
      <c r="G2718" s="4" t="n">
        <v>2404</v>
      </c>
      <c r="H2718" s="4" t="n">
        <v>727</v>
      </c>
      <c r="I2718" s="5" t="n">
        <v>85.3</v>
      </c>
      <c r="J2718" s="5" t="n">
        <v>21.6</v>
      </c>
      <c r="K2718" s="3" t="inlineStr">
        <is>
          <t>고복저수지와 송정리를 연결하는 2차선도로 옆 급매물 토지</t>
        </is>
      </c>
      <c r="L2718" s="6">
        <f>HYPERLINK("https://fin.land.naver.com/articles/2652034406", "매물Link")</f>
        <v/>
      </c>
      <c r="M2718" s="6">
        <f>HYPERLINK("https://map.naver.com/p/search/전동면 송정리 268", "지도Link")</f>
        <v/>
      </c>
      <c r="N2718" s="6">
        <f>HYPERLINK("http://www.eum.go.kr/web/ar/lu/luLandDet.jsp?pnu=3611038027102680000&amp;isNoScr=script&amp;mode=search", "토지이음")</f>
        <v/>
      </c>
      <c r="O2718" s="3" t="inlineStr">
        <is>
          <t>미스터홈즈강남지사</t>
        </is>
      </c>
      <c r="P2718" s="4" t="n">
        <v>1</v>
      </c>
      <c r="Q2718" s="4" t="n">
        <v>2404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소로한면</t>
        </is>
      </c>
    </row>
    <row r="2719">
      <c r="A2719" s="3" t="inlineStr">
        <is>
          <t>전동면 송정리 296-8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96000</v>
      </c>
      <c r="G2719" s="4" t="n">
        <v>5284</v>
      </c>
      <c r="H2719" s="4" t="n">
        <v>1598</v>
      </c>
      <c r="I2719" s="5" t="n">
        <v>60.1</v>
      </c>
      <c r="J2719" s="5" t="n">
        <v>22.2</v>
      </c>
      <c r="K2719" s="3" t="inlineStr">
        <is>
          <t>대토추천, 2차선도로접. 농업보호구역, 분할매도가능</t>
        </is>
      </c>
      <c r="L2719" s="6">
        <f>HYPERLINK("https://fin.land.naver.com/articles/2654227231", "매물Link")</f>
        <v/>
      </c>
      <c r="M2719" s="6">
        <f>HYPERLINK("https://map.naver.com/p/search/전동면 송정리 296-8", "지도Link")</f>
        <v/>
      </c>
      <c r="N2719" s="6">
        <f>HYPERLINK("http://www.eum.go.kr/web/ar/lu/luLandDet.jsp?pnu=3611038027102960008&amp;isNoScr=script&amp;mode=search",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5284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평지</t>
        </is>
      </c>
      <c r="U2719" s="3" t="inlineStr">
        <is>
          <t>부정형</t>
        </is>
      </c>
      <c r="V2719" s="3" t="inlineStr">
        <is>
          <t>소로한면</t>
        </is>
      </c>
    </row>
    <row r="2720">
      <c r="A2720" s="3" t="inlineStr">
        <is>
          <t>전동면 송정리 321-3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25000</v>
      </c>
      <c r="G2720" s="4" t="n">
        <v>1184</v>
      </c>
      <c r="H2720" s="4" t="n">
        <v>358</v>
      </c>
      <c r="I2720" s="5" t="n">
        <v>69.8</v>
      </c>
      <c r="J2720" s="5" t="n">
        <v>21.7</v>
      </c>
      <c r="K2720" s="3" t="inlineStr">
        <is>
          <t>급매 송정리  2차선접 남향 건축및투자하기 좋은 금액입니다</t>
        </is>
      </c>
      <c r="L2720" s="6">
        <f>HYPERLINK("https://fin.land.naver.com/articles/2652043902", "매물Link")</f>
        <v/>
      </c>
      <c r="M2720" s="6">
        <f>HYPERLINK("https://map.naver.com/p/search/전동면 송정리 321-3", "지도Link")</f>
        <v/>
      </c>
      <c r="N2720" s="6">
        <f>HYPERLINK("http://www.eum.go.kr/web/ar/lu/luLandDet.jsp?pnu=3611038027103210003&amp;isNoScr=script&amp;mode=search",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1184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소로한면</t>
        </is>
      </c>
    </row>
    <row r="2721">
      <c r="A2721" s="3" t="inlineStr">
        <is>
          <t>전동면 송정리 36-4</t>
        </is>
      </c>
      <c r="B2721" s="3" t="inlineStr">
        <is>
          <t>계획관리지역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267000</v>
      </c>
      <c r="G2721" s="4" t="n">
        <v>5884</v>
      </c>
      <c r="H2721" s="4" t="n">
        <v>1780</v>
      </c>
      <c r="I2721" s="5" t="n">
        <v>150</v>
      </c>
      <c r="J2721" s="5" t="n">
        <v>46</v>
      </c>
      <c r="K2721" s="3" t="inlineStr">
        <is>
          <t>계획관리지역으로 소매점 1동과 조망 좋은 단독주택 1동 택지 조성된 임야</t>
        </is>
      </c>
      <c r="L2721" s="6">
        <f>HYPERLINK("https://fin.land.naver.com/articles/2651902769", "매물Link")</f>
        <v/>
      </c>
      <c r="M2721" s="6">
        <f>HYPERLINK("https://map.naver.com/p/search/전동면 송정리 36-4", "지도Link")</f>
        <v/>
      </c>
      <c r="N2721" s="6">
        <f>HYPERLINK("http://www.eum.go.kr/web/ar/lu/luLandDet.jsp?pnu=3611038027100360004&amp;isNoScr=script&amp;mode=search", "토지이음")</f>
        <v/>
      </c>
      <c r="O2721" s="3" t="inlineStr">
        <is>
          <t>스마일세종</t>
        </is>
      </c>
      <c r="P2721" s="4" t="n">
        <v>1</v>
      </c>
      <c r="Q2721" s="4" t="n">
        <v>1608</v>
      </c>
      <c r="R2721" s="3" t="inlineStr">
        <is>
          <t>지정되지않음</t>
        </is>
      </c>
      <c r="S2721" s="3" t="inlineStr">
        <is>
          <t>주상용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송정리 372</t>
        </is>
      </c>
      <c r="B2722" s="3" t="inlineStr">
        <is>
          <t>농림지역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36000</v>
      </c>
      <c r="G2722" s="4" t="n">
        <v>1676</v>
      </c>
      <c r="H2722" s="4" t="n">
        <v>507</v>
      </c>
      <c r="I2722" s="5" t="n">
        <v>71</v>
      </c>
      <c r="J2722" s="5" t="n">
        <v>18.3</v>
      </c>
      <c r="K2722" s="3" t="inlineStr">
        <is>
          <t>2차선 도로 접한 토지 매매</t>
        </is>
      </c>
      <c r="L2722" s="6">
        <f>HYPERLINK("https://fin.land.naver.com/articles/2653157645", "매물Link")</f>
        <v/>
      </c>
      <c r="M2722" s="6">
        <f>HYPERLINK("https://map.naver.com/p/search/전동면 송정리 372", "지도Link")</f>
        <v/>
      </c>
      <c r="N2722" s="6">
        <f>HYPERLINK("http://www.eum.go.kr/web/ar/lu/luLandDet.jsp?pnu=3611038027103720000&amp;isNoScr=script&amp;mode=search", "토지이음")</f>
        <v/>
      </c>
      <c r="O2722" s="3" t="inlineStr">
        <is>
          <t>스타트</t>
        </is>
      </c>
      <c r="P2722" s="4" t="n">
        <v>1</v>
      </c>
      <c r="Q2722" s="4" t="n">
        <v>1676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전동면 송정리 382</t>
        </is>
      </c>
      <c r="B2723" s="3" t="inlineStr">
        <is>
          <t>생산관리지역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9500</v>
      </c>
      <c r="G2723" s="4" t="n">
        <v>519</v>
      </c>
      <c r="H2723" s="4" t="n">
        <v>157</v>
      </c>
      <c r="I2723" s="5" t="n">
        <v>60.5</v>
      </c>
      <c r="J2723" s="5" t="n">
        <v>16.7</v>
      </c>
      <c r="K2723" s="3" t="inlineStr">
        <is>
          <t>급매 송정리 토지 매매</t>
        </is>
      </c>
      <c r="L2723" s="6">
        <f>HYPERLINK("https://fin.land.naver.com/articles/2655242076", "매물Link")</f>
        <v/>
      </c>
      <c r="M2723" s="6">
        <f>HYPERLINK("https://map.naver.com/p/search/전동면 송정리 382", "지도Link")</f>
        <v/>
      </c>
      <c r="N2723" s="6">
        <f>HYPERLINK("http://www.eum.go.kr/web/ar/lu/luLandDet.jsp?pnu=3611038027103820000&amp;isNoScr=script&amp;mode=search", "토지이음")</f>
        <v/>
      </c>
      <c r="O2723" s="3" t="inlineStr">
        <is>
          <t>스타트</t>
        </is>
      </c>
      <c r="P2723" s="4" t="n">
        <v>1</v>
      </c>
      <c r="Q2723" s="4" t="n">
        <v>519</v>
      </c>
      <c r="R2723" s="3" t="inlineStr">
        <is>
          <t>지정되지않음</t>
        </is>
      </c>
      <c r="S2723" s="3" t="inlineStr">
        <is>
          <t>과수원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전동면 송정리 산12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280000</v>
      </c>
      <c r="G2724" s="4" t="n">
        <v>45620</v>
      </c>
      <c r="H2724" s="4" t="n">
        <v>13800</v>
      </c>
      <c r="I2724" s="5" t="n">
        <v>20.3</v>
      </c>
      <c r="J2724" s="5" t="n">
        <v>3</v>
      </c>
      <c r="K2724" s="3" t="inlineStr">
        <is>
          <t>송정리 위치 좋은 넓은 임야로 활용도가  좋은 매물이예요</t>
        </is>
      </c>
      <c r="L2724" s="6">
        <f>HYPERLINK("https://fin.land.naver.com/articles/2653348523", "매물Link")</f>
        <v/>
      </c>
      <c r="M2724" s="6">
        <f>HYPERLINK("https://map.naver.com/p/search/전동면 송정리 산12", "지도Link")</f>
        <v/>
      </c>
      <c r="N2724" s="6">
        <f>HYPERLINK("http://www.eum.go.kr/web/ar/lu/luLandDet.jsp?pnu=3611038027200120000&amp;isNoScr=script&amp;mode=search", "토지이음")</f>
        <v/>
      </c>
      <c r="O2724" s="3" t="inlineStr">
        <is>
          <t>4989명품</t>
        </is>
      </c>
      <c r="P2724" s="4" t="n">
        <v>1</v>
      </c>
      <c r="Q2724" s="4" t="n">
        <v>45620</v>
      </c>
      <c r="R2724" s="3" t="inlineStr">
        <is>
          <t>계획관리지역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가로장방</t>
        </is>
      </c>
      <c r="V2724" s="3" t="inlineStr">
        <is>
          <t>세로한면(가)</t>
        </is>
      </c>
    </row>
    <row r="2725">
      <c r="A2725" s="3" t="inlineStr">
        <is>
          <t>전동면 송정리 산19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90000</v>
      </c>
      <c r="G2725" s="4" t="n">
        <v>37109</v>
      </c>
      <c r="H2725" s="4" t="n">
        <v>11225</v>
      </c>
      <c r="I2725" s="5" t="n">
        <v>8</v>
      </c>
      <c r="J2725" s="5" t="n">
        <v>1.6</v>
      </c>
      <c r="K2725" s="3" t="inlineStr">
        <is>
          <t>개발투자추천 가격조율가능</t>
        </is>
      </c>
      <c r="L2725" s="6">
        <f>HYPERLINK("https://fin.land.naver.com/articles/2655114627", "매물Link")</f>
        <v/>
      </c>
      <c r="M2725" s="6">
        <f>HYPERLINK("https://map.naver.com/p/search/전동면 송정리 산19", "지도Link")</f>
        <v/>
      </c>
      <c r="N2725" s="6">
        <f>HYPERLINK("http://www.eum.go.kr/web/ar/lu/luLandDet.jsp?pnu=3611038027200190000&amp;isNoScr=script&amp;mode=search", "토지이음")</f>
        <v/>
      </c>
      <c r="O2725" s="3" t="inlineStr">
        <is>
          <t>뉴엘리트탑</t>
        </is>
      </c>
      <c r="P2725" s="4" t="n">
        <v>1</v>
      </c>
      <c r="Q2725" s="4" t="n">
        <v>37109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심중리 191-1</t>
        </is>
      </c>
      <c r="B2726" s="3" t="inlineStr">
        <is>
          <t>계획관리지역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7000</v>
      </c>
      <c r="G2726" s="4" t="n">
        <v>352</v>
      </c>
      <c r="H2726" s="4" t="n">
        <v>106</v>
      </c>
      <c r="I2726" s="5" t="n">
        <v>66</v>
      </c>
      <c r="J2726" s="5" t="n">
        <v>25.9</v>
      </c>
      <c r="K2726" s="3" t="inlineStr">
        <is>
          <t>심중리 계획관리지역, 현재 기지국설치로 연 280만원 수익</t>
        </is>
      </c>
      <c r="L2726" s="6">
        <f>HYPERLINK("https://fin.land.naver.com/articles/2655393309", "매물Link")</f>
        <v/>
      </c>
      <c r="M2726" s="6">
        <f>HYPERLINK("https://map.naver.com/p/search/전동면 심중리 191-1", "지도Link")</f>
        <v/>
      </c>
      <c r="N2726" s="6">
        <f>HYPERLINK("http://www.eum.go.kr/web/ar/lu/luLandDet.jsp?pnu=3611038031101910001&amp;isNoScr=script&amp;mode=search", "토지이음")</f>
        <v/>
      </c>
      <c r="O2726" s="3" t="inlineStr">
        <is>
          <t>KB세종</t>
        </is>
      </c>
      <c r="P2726" s="4" t="n">
        <v>1</v>
      </c>
      <c r="Q2726" s="4" t="n">
        <v>352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심중리 200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65000</v>
      </c>
      <c r="G2727" s="4" t="n">
        <v>2039</v>
      </c>
      <c r="H2727" s="4" t="n">
        <v>617</v>
      </c>
      <c r="I2727" s="5" t="n">
        <v>105.3</v>
      </c>
      <c r="J2727" s="5" t="n">
        <v>33.4</v>
      </c>
      <c r="K2727" s="3" t="inlineStr">
        <is>
          <t>nan</t>
        </is>
      </c>
      <c r="L2727" s="6">
        <f>HYPERLINK("https://fin.land.naver.com/articles/2655257491", "매물Link")</f>
        <v/>
      </c>
      <c r="M2727" s="6">
        <f>HYPERLINK("https://map.naver.com/p/search/전동면 심중리 200", "지도Link")</f>
        <v/>
      </c>
      <c r="N2727" s="6">
        <f>HYPERLINK("http://www.eum.go.kr/web/ar/lu/luLandDet.jsp?pnu=3611038031102000000&amp;isNoScr=script&amp;mode=search", "토지이음")</f>
        <v/>
      </c>
      <c r="O2727" s="3" t="inlineStr">
        <is>
          <t>이서방</t>
        </is>
      </c>
      <c r="P2727" s="4" t="n">
        <v>1</v>
      </c>
      <c r="Q2727" s="4" t="n">
        <v>2039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소로한면</t>
        </is>
      </c>
    </row>
    <row r="2728">
      <c r="A2728" s="3" t="inlineStr">
        <is>
          <t>전동면 심중리 205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65000</v>
      </c>
      <c r="G2728" s="4" t="n">
        <v>2248</v>
      </c>
      <c r="H2728" s="4" t="n">
        <v>680</v>
      </c>
      <c r="I2728" s="5" t="n">
        <v>95.59999999999999</v>
      </c>
      <c r="J2728" s="5" t="n">
        <v>27.1</v>
      </c>
      <c r="K2728" s="3" t="inlineStr">
        <is>
          <t>세종시 귀한 계획관리 토지임</t>
        </is>
      </c>
      <c r="L2728" s="6">
        <f>HYPERLINK("https://fin.land.naver.com/articles/2651170755", "매물Link")</f>
        <v/>
      </c>
      <c r="M2728" s="6">
        <f>HYPERLINK("https://map.naver.com/p/search/전동면 심중리 205", "지도Link")</f>
        <v/>
      </c>
      <c r="N2728" s="6">
        <f>HYPERLINK("http://www.eum.go.kr/web/ar/lu/luLandDet.jsp?pnu=3611038031102050000&amp;isNoScr=script&amp;mode=search", "토지이음")</f>
        <v/>
      </c>
      <c r="O2728" s="3" t="inlineStr">
        <is>
          <t>드림</t>
        </is>
      </c>
      <c r="P2728" s="4" t="n">
        <v>1</v>
      </c>
      <c r="Q2728" s="4" t="n">
        <v>555</v>
      </c>
      <c r="R2728" s="3" t="inlineStr">
        <is>
          <t>지정되지않음</t>
        </is>
      </c>
      <c r="S2728" s="3" t="inlineStr">
        <is>
          <t>과수원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심중리 379-1</t>
        </is>
      </c>
      <c r="B2729" s="3" t="inlineStr">
        <is>
          <t>계획관리지역</t>
        </is>
      </c>
      <c r="C2729" s="3" t="inlineStr">
        <is>
          <t>목장용지</t>
        </is>
      </c>
      <c r="D2729" s="3" t="inlineStr">
        <is>
          <t>목장용지</t>
        </is>
      </c>
      <c r="E2729" s="3" t="inlineStr">
        <is>
          <t>매매</t>
        </is>
      </c>
      <c r="F2729" s="4" t="n">
        <v>400000</v>
      </c>
      <c r="G2729" s="4" t="n">
        <v>21554</v>
      </c>
      <c r="H2729" s="4" t="n">
        <v>6520</v>
      </c>
      <c r="I2729" s="5" t="n">
        <v>61.3</v>
      </c>
      <c r="J2729" s="5" t="n">
        <v>28.6</v>
      </c>
      <c r="K2729" s="3" t="inlineStr">
        <is>
          <t>세종벤처밸리일반산업단지 맞은편 투자가치 높은 계획관리 귀한 토지</t>
        </is>
      </c>
      <c r="L2729" s="6">
        <f>HYPERLINK("https://fin.land.naver.com/articles/2651817111", "매물Link")</f>
        <v/>
      </c>
      <c r="M2729" s="6">
        <f>HYPERLINK("https://map.naver.com/p/search/전동면 심중리 379-1", "지도Link")</f>
        <v/>
      </c>
      <c r="N2729" s="6">
        <f>HYPERLINK("http://www.eum.go.kr/web/ar/lu/luLandDet.jsp?pnu=3611038031103790001&amp;isNoScr=script&amp;mode=search", "토지이음")</f>
        <v/>
      </c>
      <c r="O2729" s="3" t="inlineStr">
        <is>
          <t>번영</t>
        </is>
      </c>
      <c r="P2729" s="4" t="n">
        <v>1</v>
      </c>
      <c r="Q2729" s="4" t="n">
        <v>790</v>
      </c>
      <c r="R2729" s="3" t="inlineStr">
        <is>
          <t>지정되지않음</t>
        </is>
      </c>
      <c r="S2729" s="3" t="inlineStr">
        <is>
          <t>전축사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심중리 391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44600</v>
      </c>
      <c r="G2730" s="4" t="n">
        <v>2110</v>
      </c>
      <c r="H2730" s="4" t="n">
        <v>638</v>
      </c>
      <c r="I2730" s="5" t="n">
        <v>69.90000000000001</v>
      </c>
      <c r="J2730" s="5" t="n">
        <v>18.3</v>
      </c>
      <c r="K2730" s="3" t="inlineStr">
        <is>
          <t>계획관리 답,현재과수원,농막있음.대토추천</t>
        </is>
      </c>
      <c r="L2730" s="6">
        <f>HYPERLINK("https://fin.land.naver.com/articles/2651385415", "매물Link")</f>
        <v/>
      </c>
      <c r="M2730" s="6">
        <f>HYPERLINK("https://map.naver.com/p/search/전동면 심중리 391", "지도Link")</f>
        <v/>
      </c>
      <c r="N2730" s="6">
        <f>HYPERLINK("http://www.eum.go.kr/web/ar/lu/luLandDet.jsp?pnu=3611038031103910000&amp;isNoScr=script&amp;mode=search",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2110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완경사</t>
        </is>
      </c>
      <c r="U2730" s="3" t="inlineStr">
        <is>
          <t>부정형</t>
        </is>
      </c>
      <c r="V2730" s="3" t="inlineStr">
        <is>
          <t>세로한면(불)</t>
        </is>
      </c>
    </row>
    <row r="2731">
      <c r="A2731" s="3" t="inlineStr">
        <is>
          <t>전동면 심중리 391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45000</v>
      </c>
      <c r="G2731" s="4" t="n">
        <v>2109</v>
      </c>
      <c r="H2731" s="4" t="n">
        <v>638</v>
      </c>
      <c r="I2731" s="5" t="n">
        <v>70.5</v>
      </c>
      <c r="J2731" s="5" t="n">
        <v>18.3</v>
      </c>
      <c r="K2731" s="3" t="inlineStr">
        <is>
          <t>도로따라 긴토지 매매</t>
        </is>
      </c>
      <c r="L2731" s="6">
        <f>HYPERLINK("https://fin.land.naver.com/articles/2653195490", "매물Link")</f>
        <v/>
      </c>
      <c r="M2731" s="6">
        <f>HYPERLINK("https://map.naver.com/p/search/전동면 심중리 391", "지도Link")</f>
        <v/>
      </c>
      <c r="N2731" s="6">
        <f>HYPERLINK("http://www.eum.go.kr/web/ar/lu/luLandDet.jsp?pnu=3611038031103910000&amp;isNoScr=script&amp;mode=search", "토지이음")</f>
        <v/>
      </c>
      <c r="O2731" s="3" t="inlineStr">
        <is>
          <t>THE행복</t>
        </is>
      </c>
      <c r="P2731" s="4" t="n">
        <v>2</v>
      </c>
      <c r="Q2731" s="4" t="n">
        <v>2110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심중리 4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대</t>
        </is>
      </c>
      <c r="E2732" s="3" t="inlineStr">
        <is>
          <t>매매</t>
        </is>
      </c>
      <c r="F2732" s="4" t="n">
        <v>40000</v>
      </c>
      <c r="G2732" s="4" t="n">
        <v>2285</v>
      </c>
      <c r="H2732" s="4" t="n">
        <v>691</v>
      </c>
      <c r="I2732" s="5" t="n">
        <v>57.9</v>
      </c>
      <c r="J2732" s="5" t="n">
        <v>20.8</v>
      </c>
      <c r="K2732" s="3" t="inlineStr">
        <is>
          <t>계획관리지역 , 세종시시민스포츠센터인 세컨하우스 및 농장</t>
        </is>
      </c>
      <c r="L2732" s="6">
        <f>HYPERLINK("https://fin.land.naver.com/articles/2653734293", "매물Link")</f>
        <v/>
      </c>
      <c r="M2732" s="6">
        <f>HYPERLINK("https://map.naver.com/p/search/전동면 심중리 4", "지도Link")</f>
        <v/>
      </c>
      <c r="N2732" s="6">
        <f>HYPERLINK("http://www.eum.go.kr/web/ar/lu/luLandDet.jsp?pnu=3611038031100040000&amp;isNoScr=script&amp;mode=search", "토지이음")</f>
        <v/>
      </c>
      <c r="O2732" s="3" t="inlineStr">
        <is>
          <t>금온(ON)</t>
        </is>
      </c>
      <c r="P2732" s="4" t="n">
        <v>1</v>
      </c>
      <c r="Q2732" s="4" t="n">
        <v>660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전동면 심중리 407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807</v>
      </c>
      <c r="H2733" s="4" t="n">
        <v>244</v>
      </c>
      <c r="I2733" s="5" t="n">
        <v>61.5</v>
      </c>
      <c r="J2733" s="5" t="n">
        <v>21.9</v>
      </c>
      <c r="K2733" s="3" t="inlineStr">
        <is>
          <t>남향,주말농장,전원주택추천</t>
        </is>
      </c>
      <c r="L2733" s="6">
        <f>HYPERLINK("https://fin.land.naver.com/articles/2651708281", "매물Link")</f>
        <v/>
      </c>
      <c r="M2733" s="6">
        <f>HYPERLINK("https://map.naver.com/p/search/전동면 심중리 407", "지도Link")</f>
        <v/>
      </c>
      <c r="N2733" s="6">
        <f>HYPERLINK("http://www.eum.go.kr/web/ar/lu/luLandDet.jsp?pnu=3611038031104070000&amp;isNoScr=script&amp;mode=search", "토지이음")</f>
        <v/>
      </c>
      <c r="O2733" s="3" t="inlineStr">
        <is>
          <t>OK수</t>
        </is>
      </c>
      <c r="P2733" s="4" t="n">
        <v>1</v>
      </c>
      <c r="Q2733" s="4" t="n">
        <v>807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전동면 심중리 407-1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13000</v>
      </c>
      <c r="G2734" s="4" t="n">
        <v>743</v>
      </c>
      <c r="H2734" s="4" t="n">
        <v>225</v>
      </c>
      <c r="I2734" s="5" t="n">
        <v>57.8</v>
      </c>
      <c r="J2734" s="5" t="n">
        <v>23</v>
      </c>
      <c r="K2734" s="3" t="inlineStr">
        <is>
          <t>저렴한토지 매매 계획관리지역</t>
        </is>
      </c>
      <c r="L2734" s="6">
        <f>HYPERLINK("https://fin.land.naver.com/articles/2654661329", "매물Link")</f>
        <v/>
      </c>
      <c r="M2734" s="6">
        <f>HYPERLINK("https://map.naver.com/p/search/전동면 심중리 407-1", "지도Link")</f>
        <v/>
      </c>
      <c r="N2734" s="6">
        <f>HYPERLINK("http://www.eum.go.kr/web/ar/lu/luLandDet.jsp?pnu=3611038031104070001&amp;isNoScr=script&amp;mode=search", "토지이음")</f>
        <v/>
      </c>
      <c r="O2734" s="3" t="inlineStr">
        <is>
          <t>세종부부</t>
        </is>
      </c>
      <c r="P2734" s="4" t="n">
        <v>1</v>
      </c>
      <c r="Q2734" s="4" t="n">
        <v>743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사다리형</t>
        </is>
      </c>
      <c r="V2734" s="3" t="inlineStr">
        <is>
          <t>세로한면(가)</t>
        </is>
      </c>
    </row>
    <row r="2735">
      <c r="A2735" s="3" t="inlineStr">
        <is>
          <t>전동면 심중리 407-1</t>
        </is>
      </c>
      <c r="B2735" s="3" t="inlineStr">
        <is>
          <t>계획관리지역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13000</v>
      </c>
      <c r="G2735" s="4" t="n">
        <v>743</v>
      </c>
      <c r="H2735" s="4" t="n">
        <v>225</v>
      </c>
      <c r="I2735" s="5" t="n">
        <v>57.8</v>
      </c>
      <c r="J2735" s="5" t="n">
        <v>23</v>
      </c>
      <c r="K2735" s="3" t="inlineStr">
        <is>
          <t>급매,2면 도로접 계획관리지역,산조망권 뷰,다용도 사용 가능,투자용 추천</t>
        </is>
      </c>
      <c r="L2735" s="6">
        <f>HYPERLINK("https://fin.land.naver.com/articles/2653336516", "매물Link")</f>
        <v/>
      </c>
      <c r="M2735" s="6">
        <f>HYPERLINK("https://map.naver.com/p/search/전동면 심중리 407-1", "지도Link")</f>
        <v/>
      </c>
      <c r="N2735" s="6">
        <f>HYPERLINK("http://www.eum.go.kr/web/ar/lu/luLandDet.jsp?pnu=3611038031104070001&amp;isNoScr=script&amp;mode=search", "토지이음")</f>
        <v/>
      </c>
      <c r="O2735" s="3" t="inlineStr">
        <is>
          <t>고운맘</t>
        </is>
      </c>
      <c r="P2735" s="4" t="n">
        <v>1</v>
      </c>
      <c r="Q2735" s="4" t="n">
        <v>743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심중리 407-1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13000</v>
      </c>
      <c r="G2736" s="4" t="n">
        <v>743</v>
      </c>
      <c r="H2736" s="4" t="n">
        <v>225</v>
      </c>
      <c r="I2736" s="5" t="n">
        <v>57.8</v>
      </c>
      <c r="J2736" s="5" t="n">
        <v>23</v>
      </c>
      <c r="K2736" s="3" t="inlineStr">
        <is>
          <t>급매 계획관리토지,개발,주말농장 등</t>
        </is>
      </c>
      <c r="L2736" s="6">
        <f>HYPERLINK("https://fin.land.naver.com/articles/2655032773", "매물Link")</f>
        <v/>
      </c>
      <c r="M2736" s="6">
        <f>HYPERLINK("https://map.naver.com/p/search/전동면 심중리 407-1", "지도Link")</f>
        <v/>
      </c>
      <c r="N2736" s="6">
        <f>HYPERLINK("http://www.eum.go.kr/web/ar/lu/luLandDet.jsp?pnu=3611038031104070001&amp;isNoScr=script&amp;mode=search", "토지이음")</f>
        <v/>
      </c>
      <c r="O2736" s="3" t="inlineStr">
        <is>
          <t>세종대박</t>
        </is>
      </c>
      <c r="P2736" s="4" t="n">
        <v>2</v>
      </c>
      <c r="Q2736" s="4" t="n">
        <v>743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사다리형</t>
        </is>
      </c>
      <c r="V2736" s="3" t="inlineStr">
        <is>
          <t>세로한면(가)</t>
        </is>
      </c>
    </row>
    <row r="2737">
      <c r="A2737" s="3" t="inlineStr">
        <is>
          <t>전동면 심중리 407-1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16000</v>
      </c>
      <c r="G2737" s="4" t="n">
        <v>743</v>
      </c>
      <c r="H2737" s="4" t="n">
        <v>225</v>
      </c>
      <c r="I2737" s="5" t="n">
        <v>71.09999999999999</v>
      </c>
      <c r="J2737" s="5" t="n">
        <v>23</v>
      </c>
      <c r="K2737" s="3" t="inlineStr">
        <is>
          <t>세종 심중리   관리하기 좋은 농지</t>
        </is>
      </c>
      <c r="L2737" s="6">
        <f>HYPERLINK("https://fin.land.naver.com/articles/2654214850", "매물Link")</f>
        <v/>
      </c>
      <c r="M2737" s="6">
        <f>HYPERLINK("https://map.naver.com/p/search/전동면 심중리 407-1", "지도Link")</f>
        <v/>
      </c>
      <c r="N2737" s="6">
        <f>HYPERLINK("http://www.eum.go.kr/web/ar/lu/luLandDet.jsp?pnu=3611038031104070001&amp;isNoScr=script&amp;mode=search", "토지이음")</f>
        <v/>
      </c>
      <c r="O2737" s="3" t="inlineStr">
        <is>
          <t>세종몽땅</t>
        </is>
      </c>
      <c r="P2737" s="4" t="n">
        <v>1</v>
      </c>
      <c r="Q2737" s="4" t="n">
        <v>743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전동면 심중리 408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20000</v>
      </c>
      <c r="G2738" s="4" t="n">
        <v>1785</v>
      </c>
      <c r="H2738" s="4" t="n">
        <v>540</v>
      </c>
      <c r="I2738" s="5" t="n">
        <v>37</v>
      </c>
      <c r="J2738" s="5" t="n">
        <v>22.7</v>
      </c>
      <c r="K2738" s="3" t="inlineStr">
        <is>
          <t>도로 접, 환한 토지, 계획관리, 지목 답, 전원생활 개발가능한 토지 급</t>
        </is>
      </c>
      <c r="L2738" s="6">
        <f>HYPERLINK("https://fin.land.naver.com/articles/2656381998", "매물Link")</f>
        <v/>
      </c>
      <c r="M2738" s="6">
        <f>HYPERLINK("https://map.naver.com/p/search/전동면 심중리 408", "지도Link")</f>
        <v/>
      </c>
      <c r="N2738" s="6">
        <f>HYPERLINK("http://www.eum.go.kr/web/ar/lu/luLandDet.jsp?pnu=3611038031104080000&amp;isNoScr=script&amp;mode=search", "토지이음")</f>
        <v/>
      </c>
      <c r="O2738" s="3" t="inlineStr">
        <is>
          <t>OK파라곤</t>
        </is>
      </c>
      <c r="P2738" s="4" t="n">
        <v>2</v>
      </c>
      <c r="Q2738" s="4" t="n">
        <v>1785</v>
      </c>
      <c r="R2738" s="3" t="inlineStr">
        <is>
          <t>지정되지않음</t>
        </is>
      </c>
      <c r="S2738" s="3" t="inlineStr">
        <is>
          <t>과수원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심중리 461-3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전</t>
        </is>
      </c>
      <c r="E2739" s="3" t="inlineStr">
        <is>
          <t>매매</t>
        </is>
      </c>
      <c r="F2739" s="4" t="n">
        <v>33000</v>
      </c>
      <c r="G2739" s="4" t="n">
        <v>1157</v>
      </c>
      <c r="H2739" s="4" t="n">
        <v>350</v>
      </c>
      <c r="I2739" s="5" t="n">
        <v>94.3</v>
      </c>
      <c r="J2739" s="5" t="n">
        <v>22</v>
      </c>
      <c r="K2739" s="3" t="inlineStr">
        <is>
          <t>전동면 심중리 단독부지 조용한 전원생활 최적지, 포장도로접</t>
        </is>
      </c>
      <c r="L2739" s="6">
        <f>HYPERLINK("https://fin.land.naver.com/articles/2656442978", "매물Link")</f>
        <v/>
      </c>
      <c r="M2739" s="6">
        <f>HYPERLINK("https://map.naver.com/p/search/전동면 심중리 461-3", "지도Link")</f>
        <v/>
      </c>
      <c r="N2739" s="6">
        <f>HYPERLINK("http://www.eum.go.kr/web/ar/lu/luLandDet.jsp?pnu=3611038031104610003&amp;isNoScr=script&amp;mode=search", "토지이음")</f>
        <v/>
      </c>
      <c r="O2739" s="3" t="inlineStr">
        <is>
          <t>세종공감</t>
        </is>
      </c>
      <c r="P2739" s="4" t="n">
        <v>1</v>
      </c>
      <c r="Q2739" s="4" t="n">
        <v>714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463-1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87500</v>
      </c>
      <c r="G2740" s="4" t="n">
        <v>826</v>
      </c>
      <c r="H2740" s="4" t="n">
        <v>250</v>
      </c>
      <c r="I2740" s="5" t="n">
        <v>350</v>
      </c>
      <c r="J2740" s="5" t="n">
        <v>32.5</v>
      </c>
      <c r="K2740" s="3" t="inlineStr">
        <is>
          <t>세종벤처밸리산업단지 인근의 포장도로에 접한 계획관리지역의 정사각형모양 전</t>
        </is>
      </c>
      <c r="L2740" s="6">
        <f>HYPERLINK("https://fin.land.naver.com/articles/2656247163", "매물Link")</f>
        <v/>
      </c>
      <c r="M2740" s="6">
        <f>HYPERLINK("https://map.naver.com/p/search/전동면 심중리 463-1", "지도Link")</f>
        <v/>
      </c>
      <c r="N2740" s="6">
        <f>HYPERLINK("http://www.eum.go.kr/web/ar/lu/luLandDet.jsp?pnu=3611038031104630001&amp;isNoScr=script&amp;mode=search", "토지이음")</f>
        <v/>
      </c>
      <c r="O2740" s="3" t="inlineStr">
        <is>
          <t>스마일세종</t>
        </is>
      </c>
      <c r="P2740" s="4" t="n">
        <v>1</v>
      </c>
      <c r="Q2740" s="4" t="n">
        <v>826</v>
      </c>
      <c r="R2740" s="3" t="inlineStr">
        <is>
          <t>지정되지않음</t>
        </is>
      </c>
      <c r="S2740" s="3" t="inlineStr">
        <is>
          <t>과수원</t>
        </is>
      </c>
      <c r="T2740" s="3" t="inlineStr">
        <is>
          <t>평지</t>
        </is>
      </c>
      <c r="U2740" s="3" t="inlineStr">
        <is>
          <t>사다리형</t>
        </is>
      </c>
      <c r="V2740" s="3" t="inlineStr">
        <is>
          <t>소로한면</t>
        </is>
      </c>
    </row>
    <row r="2741">
      <c r="A2741" s="3" t="inlineStr">
        <is>
          <t>전동면 심중리 산72</t>
        </is>
      </c>
      <c r="B2741" s="3" t="inlineStr">
        <is>
          <t>보전관리지역</t>
        </is>
      </c>
      <c r="C2741" s="3" t="inlineStr">
        <is>
          <t>임야</t>
        </is>
      </c>
      <c r="D2741" s="3" t="inlineStr">
        <is>
          <t>임야</t>
        </is>
      </c>
      <c r="E2741" s="3" t="inlineStr">
        <is>
          <t>매매</t>
        </is>
      </c>
      <c r="F2741" s="4" t="n">
        <v>430000</v>
      </c>
      <c r="G2741" s="4" t="n">
        <v>79553</v>
      </c>
      <c r="H2741" s="4" t="n">
        <v>24065</v>
      </c>
      <c r="I2741" s="5" t="n">
        <v>17.9</v>
      </c>
      <c r="J2741" s="5" t="n">
        <v>3.5</v>
      </c>
      <c r="K2741" s="3" t="inlineStr">
        <is>
          <t>nan</t>
        </is>
      </c>
      <c r="L2741" s="6">
        <f>HYPERLINK("https://fin.land.naver.com/articles/2653435385", "매물Link")</f>
        <v/>
      </c>
      <c r="M2741" s="6">
        <f>HYPERLINK("https://map.naver.com/p/search/전동면 심중리 산72", "지도Link")</f>
        <v/>
      </c>
      <c r="N2741" s="6">
        <f>HYPERLINK("http://www.eum.go.kr/web/ar/lu/luLandDet.jsp?pnu=3611038031200720000&amp;isNoScr=script&amp;mode=search", "토지이음")</f>
        <v/>
      </c>
      <c r="O2741" s="3" t="inlineStr">
        <is>
          <t>운산</t>
        </is>
      </c>
      <c r="P2741" s="4" t="n">
        <v>1</v>
      </c>
      <c r="Q2741" s="4" t="n">
        <v>79553</v>
      </c>
      <c r="R2741" s="3" t="inlineStr">
        <is>
          <t>농림지역</t>
        </is>
      </c>
      <c r="S2741" s="3" t="inlineStr">
        <is>
          <t>자연림</t>
        </is>
      </c>
      <c r="T2741" s="3" t="inlineStr">
        <is>
          <t>급경사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청람리 115-4</t>
        </is>
      </c>
      <c r="B2742" s="3" t="inlineStr">
        <is>
          <t>보전관리지역</t>
        </is>
      </c>
      <c r="C2742" s="3" t="inlineStr">
        <is>
          <t>대</t>
        </is>
      </c>
      <c r="D2742" s="3" t="inlineStr">
        <is>
          <t>대</t>
        </is>
      </c>
      <c r="E2742" s="3" t="inlineStr">
        <is>
          <t>매매</t>
        </is>
      </c>
      <c r="F2742" s="4" t="n">
        <v>103000</v>
      </c>
      <c r="G2742" s="4" t="n">
        <v>1697</v>
      </c>
      <c r="H2742" s="4" t="n">
        <v>513</v>
      </c>
      <c r="I2742" s="5" t="n">
        <v>200.8</v>
      </c>
      <c r="J2742" s="5" t="n">
        <v>26.5</v>
      </c>
      <c r="K2742" s="3" t="inlineStr">
        <is>
          <t>대지, 건축가능카페 등</t>
        </is>
      </c>
      <c r="L2742" s="6">
        <f>HYPERLINK("https://fin.land.naver.com/articles/2655032823", "매물Link")</f>
        <v/>
      </c>
      <c r="M2742" s="6">
        <f>HYPERLINK("https://map.naver.com/p/search/전동면 청람리 115-4", "지도Link")</f>
        <v/>
      </c>
      <c r="N2742" s="6">
        <f>HYPERLINK("http://www.eum.go.kr/web/ar/lu/luLandDet.jsp?pnu=3611038028101150004&amp;isNoScr=script&amp;mode=search", "토지이음")</f>
        <v/>
      </c>
      <c r="O2742" s="3" t="inlineStr">
        <is>
          <t>세종대박</t>
        </is>
      </c>
      <c r="P2742" s="4" t="n">
        <v>1</v>
      </c>
      <c r="Q2742" s="4" t="n">
        <v>500</v>
      </c>
      <c r="R2742" s="3" t="inlineStr">
        <is>
          <t>지정되지않음</t>
        </is>
      </c>
      <c r="S2742" s="3" t="inlineStr">
        <is>
          <t>주거나지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소로한면</t>
        </is>
      </c>
    </row>
    <row r="2743">
      <c r="A2743" s="3" t="inlineStr">
        <is>
          <t>전동면 청람리 173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20000</v>
      </c>
      <c r="G2743" s="4" t="n">
        <v>1451</v>
      </c>
      <c r="H2743" s="4" t="n">
        <v>439</v>
      </c>
      <c r="I2743" s="5" t="n">
        <v>45.6</v>
      </c>
      <c r="J2743" s="5" t="n">
        <v>21.7</v>
      </c>
      <c r="K2743" s="3" t="inlineStr">
        <is>
          <t>대토 및 장기투자</t>
        </is>
      </c>
      <c r="L2743" s="6">
        <f>HYPERLINK("https://fin.land.naver.com/articles/2652070783", "매물Link")</f>
        <v/>
      </c>
      <c r="M2743" s="6">
        <f>HYPERLINK("https://map.naver.com/p/search/전동면 청람리 173", "지도Link")</f>
        <v/>
      </c>
      <c r="N2743" s="6">
        <f>HYPERLINK("http://www.eum.go.kr/web/ar/lu/luLandDet.jsp?pnu=3611038028101730000&amp;isNoScr=script&amp;mode=search", "토지이음")</f>
        <v/>
      </c>
      <c r="O2743" s="3" t="inlineStr">
        <is>
          <t>연동스카이</t>
        </is>
      </c>
      <c r="P2743" s="4" t="n">
        <v>1</v>
      </c>
      <c r="Q2743" s="4" t="n">
        <v>1451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평지</t>
        </is>
      </c>
      <c r="U2743" s="3" t="inlineStr">
        <is>
          <t>가로장방</t>
        </is>
      </c>
      <c r="V2743" s="3" t="inlineStr">
        <is>
          <t>세로한면(가)</t>
        </is>
      </c>
    </row>
    <row r="2744">
      <c r="A2744" s="3" t="inlineStr">
        <is>
          <t>전동면 청람리 174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14500</v>
      </c>
      <c r="G2744" s="4" t="n">
        <v>1732</v>
      </c>
      <c r="H2744" s="4" t="n">
        <v>524</v>
      </c>
      <c r="I2744" s="5" t="n">
        <v>27.7</v>
      </c>
      <c r="J2744" s="5" t="n">
        <v>17.7</v>
      </c>
      <c r="K2744" s="3" t="inlineStr">
        <is>
          <t>Point 시세보다 저렴, 투자 추천, 제2경부 연기IC,산단 입주 호재</t>
        </is>
      </c>
      <c r="L2744" s="6">
        <f>HYPERLINK("https://fin.land.naver.com/articles/2654340488", "매물Link")</f>
        <v/>
      </c>
      <c r="M2744" s="6">
        <f>HYPERLINK("https://map.naver.com/p/search/전동면 청람리 174", "지도Link")</f>
        <v/>
      </c>
      <c r="N2744" s="6">
        <f>HYPERLINK("http://www.eum.go.kr/web/ar/lu/luLandDet.jsp?pnu=3611038028101740000&amp;isNoScr=script&amp;mode=search", "토지이음")</f>
        <v/>
      </c>
      <c r="O2744" s="3" t="inlineStr">
        <is>
          <t>도마호반</t>
        </is>
      </c>
      <c r="P2744" s="4" t="n">
        <v>1</v>
      </c>
      <c r="Q2744" s="4" t="n">
        <v>1732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청람리 204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34700</v>
      </c>
      <c r="G2745" s="4" t="n">
        <v>1150</v>
      </c>
      <c r="H2745" s="4" t="n">
        <v>348</v>
      </c>
      <c r="I2745" s="5" t="n">
        <v>99.7</v>
      </c>
      <c r="J2745" s="5" t="n">
        <v>17.7</v>
      </c>
      <c r="K2745" s="3" t="inlineStr">
        <is>
          <t>옹벽을 설치하여 전원주택 2채 정도를 지을 수 있는 생산관리지역의 전</t>
        </is>
      </c>
      <c r="L2745" s="6">
        <f>HYPERLINK("https://fin.land.naver.com/articles/2654107863", "매물Link")</f>
        <v/>
      </c>
      <c r="M2745" s="6">
        <f>HYPERLINK("https://map.naver.com/p/search/전동면 청람리 204", "지도Link")</f>
        <v/>
      </c>
      <c r="N2745" s="6">
        <f>HYPERLINK("http://www.eum.go.kr/web/ar/lu/luLandDet.jsp?pnu=3611038028102040000&amp;isNoScr=script&amp;mode=search", "토지이음")</f>
        <v/>
      </c>
      <c r="O2745" s="3" t="inlineStr">
        <is>
          <t>스마일세종</t>
        </is>
      </c>
      <c r="P2745" s="4" t="n">
        <v>1</v>
      </c>
      <c r="Q2745" s="4" t="n">
        <v>1150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청람리 216-6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36000</v>
      </c>
      <c r="G2746" s="4" t="n">
        <v>3967</v>
      </c>
      <c r="H2746" s="4" t="n">
        <v>1200</v>
      </c>
      <c r="I2746" s="5" t="n">
        <v>30</v>
      </c>
      <c r="J2746" s="5" t="n">
        <v>12</v>
      </c>
      <c r="K2746" s="3" t="inlineStr">
        <is>
          <t>도로접 막힘없는 조망권뷰 최상,가족 및 종중묘자리,가격조정가능</t>
        </is>
      </c>
      <c r="L2746" s="6">
        <f>HYPERLINK("https://fin.land.naver.com/articles/2651450198", "매물Link")</f>
        <v/>
      </c>
      <c r="M2746" s="6">
        <f>HYPERLINK("https://map.naver.com/p/search/전동면 청람리 216-6", "지도Link")</f>
        <v/>
      </c>
      <c r="N2746" s="6">
        <f>HYPERLINK("http://www.eum.go.kr/web/ar/lu/luLandDet.jsp?pnu=3611038028102160006&amp;isNoScr=script&amp;mode=search", "토지이음")</f>
        <v/>
      </c>
      <c r="O2746" s="3" t="inlineStr">
        <is>
          <t>고운맘</t>
        </is>
      </c>
      <c r="P2746" s="4" t="n">
        <v>1</v>
      </c>
      <c r="Q2746" s="4" t="n">
        <v>3535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청람리 216-6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36000</v>
      </c>
      <c r="G2747" s="4" t="n">
        <v>3967</v>
      </c>
      <c r="H2747" s="4" t="n">
        <v>1200</v>
      </c>
      <c r="I2747" s="5" t="n">
        <v>30</v>
      </c>
      <c r="J2747" s="5" t="n">
        <v>12</v>
      </c>
      <c r="K2747" s="3" t="inlineStr">
        <is>
          <t>가격조율가능,세종벤처밸리 일반산업단지 인접, 연기IC예정지 근접</t>
        </is>
      </c>
      <c r="L2747" s="6">
        <f>HYPERLINK("https://fin.land.naver.com/articles/2651463700", "매물Link")</f>
        <v/>
      </c>
      <c r="M2747" s="6">
        <f>HYPERLINK("https://map.naver.com/p/search/전동면 청람리 216-6", "지도Link")</f>
        <v/>
      </c>
      <c r="N2747" s="6">
        <f>HYPERLINK("http://www.eum.go.kr/web/ar/lu/luLandDet.jsp?pnu=3611038028102160006&amp;isNoScr=script&amp;mode=search",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3535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맹지</t>
        </is>
      </c>
    </row>
    <row r="2748">
      <c r="A2748" s="3" t="inlineStr">
        <is>
          <t>전동면 청람리 228-2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5500</v>
      </c>
      <c r="G2748" s="4" t="n">
        <v>232</v>
      </c>
      <c r="H2748" s="4" t="n">
        <v>70</v>
      </c>
      <c r="I2748" s="5" t="n">
        <v>78.59999999999999</v>
      </c>
      <c r="J2748" s="5" t="n">
        <v>37.9</v>
      </c>
      <c r="K2748" s="3" t="inlineStr">
        <is>
          <t>지자체에서 포장한 진입로 있는 계획관리지역 나대지,저렴한 토지</t>
        </is>
      </c>
      <c r="L2748" s="6">
        <f>HYPERLINK("https://fin.land.naver.com/articles/2655149081", "매물Link")</f>
        <v/>
      </c>
      <c r="M2748" s="6">
        <f>HYPERLINK("https://map.naver.com/p/search/전동면 청람리 228-2", "지도Link")</f>
        <v/>
      </c>
      <c r="N2748" s="6">
        <f>HYPERLINK("http://www.eum.go.kr/web/ar/lu/luLandDet.jsp?pnu=3611038028102280002&amp;isNoScr=script&amp;mode=search", "토지이음")</f>
        <v/>
      </c>
      <c r="O2748" s="3" t="inlineStr">
        <is>
          <t>유정희</t>
        </is>
      </c>
      <c r="P2748" s="4" t="n">
        <v>1</v>
      </c>
      <c r="Q2748" s="4" t="n">
        <v>232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청람리 248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30000</v>
      </c>
      <c r="G2749" s="4" t="n">
        <v>843</v>
      </c>
      <c r="H2749" s="4" t="n">
        <v>255</v>
      </c>
      <c r="I2749" s="5" t="n">
        <v>117.6</v>
      </c>
      <c r="J2749" s="5" t="n">
        <v>35.9</v>
      </c>
      <c r="K2749" s="3" t="inlineStr">
        <is>
          <t>청람리에 있는 마을 안길에 접해있는 계획관리지역의 지목이 대지입니다</t>
        </is>
      </c>
      <c r="L2749" s="6">
        <f>HYPERLINK("https://fin.land.naver.com/articles/2655302942", "매물Link")</f>
        <v/>
      </c>
      <c r="M2749" s="6">
        <f>HYPERLINK("https://map.naver.com/p/search/전동면 청람리 248", "지도Link")</f>
        <v/>
      </c>
      <c r="N2749" s="6">
        <f>HYPERLINK("http://www.eum.go.kr/web/ar/lu/luLandDet.jsp?pnu=3611038028102480000&amp;isNoScr=script&amp;mode=search", "토지이음")</f>
        <v/>
      </c>
      <c r="O2749" s="3" t="inlineStr">
        <is>
          <t>스마일세종</t>
        </is>
      </c>
      <c r="P2749" s="4" t="n">
        <v>2</v>
      </c>
      <c r="Q2749" s="4" t="n">
        <v>843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청람리 427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69000</v>
      </c>
      <c r="G2750" s="4" t="n">
        <v>4155</v>
      </c>
      <c r="H2750" s="4" t="n">
        <v>1257</v>
      </c>
      <c r="I2750" s="5" t="n">
        <v>54.9</v>
      </c>
      <c r="J2750" s="5" t="n">
        <v>15</v>
      </c>
      <c r="K2750" s="3" t="inlineStr">
        <is>
          <t>도로 상태 좋고 전원주택지로 딱 좋아요. 주변에 전원주택들이 있어요</t>
        </is>
      </c>
      <c r="L2750" s="6">
        <f>HYPERLINK("https://fin.land.naver.com/articles/2653296170", "매물Link")</f>
        <v/>
      </c>
      <c r="M2750" s="6">
        <f>HYPERLINK("https://map.naver.com/p/search/전동면 청람리 427", "지도Link")</f>
        <v/>
      </c>
      <c r="N2750" s="6">
        <f>HYPERLINK("http://www.eum.go.kr/web/ar/lu/luLandDet.jsp?pnu=3611038028104270000&amp;isNoScr=script&amp;mode=search", "토지이음")</f>
        <v/>
      </c>
      <c r="O2750" s="3" t="inlineStr">
        <is>
          <t>세종공감</t>
        </is>
      </c>
      <c r="P2750" s="4" t="n">
        <v>1</v>
      </c>
      <c r="Q2750" s="4" t="n">
        <v>4155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청람리 44-3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300000</v>
      </c>
      <c r="G2751" s="4" t="n">
        <v>30860</v>
      </c>
      <c r="H2751" s="4" t="n">
        <v>9335</v>
      </c>
      <c r="I2751" s="5" t="n">
        <v>32.1</v>
      </c>
      <c r="J2751" s="5" t="n">
        <v>4.6</v>
      </c>
      <c r="K2751" s="3" t="inlineStr">
        <is>
          <t>세종에서 천안으로 가는 국도1변선변에 위치한 토지임</t>
        </is>
      </c>
      <c r="L2751" s="6">
        <f>HYPERLINK("https://fin.land.naver.com/articles/2655038698", "매물Link")</f>
        <v/>
      </c>
      <c r="M2751" s="6">
        <f>HYPERLINK("https://map.naver.com/p/search/전동면 청람리 44-3", "지도Link")</f>
        <v/>
      </c>
      <c r="N2751" s="6">
        <f>HYPERLINK("http://www.eum.go.kr/web/ar/lu/luLandDet.jsp?pnu=3611038028100440003&amp;isNoScr=script&amp;mode=search", "토지이음")</f>
        <v/>
      </c>
      <c r="O2751" s="3" t="inlineStr">
        <is>
          <t>교차로</t>
        </is>
      </c>
      <c r="P2751" s="4" t="n">
        <v>1</v>
      </c>
      <c r="Q2751" s="4" t="n">
        <v>21096</v>
      </c>
      <c r="R2751" s="3" t="inlineStr">
        <is>
          <t>지정되지않음</t>
        </is>
      </c>
      <c r="S2751" s="3" t="inlineStr">
        <is>
          <t>자연림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청람리 459</t>
        </is>
      </c>
      <c r="B2752" s="3" t="inlineStr">
        <is>
          <t>생산관리지역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43000</v>
      </c>
      <c r="G2752" s="4" t="n">
        <v>2582</v>
      </c>
      <c r="H2752" s="4" t="n">
        <v>781</v>
      </c>
      <c r="I2752" s="5" t="n">
        <v>55.1</v>
      </c>
      <c r="J2752" s="5" t="n">
        <v>17.1</v>
      </c>
      <c r="K2752" s="3" t="inlineStr">
        <is>
          <t>농지 매수를 검토하는 실수요자 세종 인근 토지 보유를 원하는 장기 보유형</t>
        </is>
      </c>
      <c r="L2752" s="6">
        <f>HYPERLINK("https://fin.land.naver.com/articles/2651605340", "매물Link")</f>
        <v/>
      </c>
      <c r="M2752" s="6">
        <f>HYPERLINK("https://map.naver.com/p/search/전동면 청람리 459", "지도Link")</f>
        <v/>
      </c>
      <c r="N2752" s="6">
        <f>HYPERLINK("http://www.eum.go.kr/web/ar/lu/luLandDet.jsp?pnu=3611038028104590000&amp;isNoScr=script&amp;mode=search", "토지이음")</f>
        <v/>
      </c>
      <c r="O2752" s="3" t="inlineStr">
        <is>
          <t>세종몽땅</t>
        </is>
      </c>
      <c r="P2752" s="4" t="n">
        <v>1</v>
      </c>
      <c r="Q2752" s="4" t="n">
        <v>2582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전동면 청람리 459</t>
        </is>
      </c>
      <c r="B2753" s="3" t="inlineStr">
        <is>
          <t>생산관리지역</t>
        </is>
      </c>
      <c r="C2753" s="3" t="inlineStr">
        <is>
          <t>답</t>
        </is>
      </c>
      <c r="D2753" s="3" t="inlineStr">
        <is>
          <t>답</t>
        </is>
      </c>
      <c r="E2753" s="3" t="inlineStr">
        <is>
          <t>매매</t>
        </is>
      </c>
      <c r="F2753" s="4" t="n">
        <v>28000</v>
      </c>
      <c r="G2753" s="4" t="n">
        <v>2582</v>
      </c>
      <c r="H2753" s="4" t="n">
        <v>781</v>
      </c>
      <c r="I2753" s="5" t="n">
        <v>35.9</v>
      </c>
      <c r="J2753" s="5" t="n">
        <v>17.1</v>
      </c>
      <c r="K2753" s="3" t="inlineStr">
        <is>
          <t>넓은 면적, 한적한 시골 주말농장, 귀촌, 대토 추천</t>
        </is>
      </c>
      <c r="L2753" s="6">
        <f>HYPERLINK("https://fin.land.naver.com/articles/2654788851", "매물Link")</f>
        <v/>
      </c>
      <c r="M2753" s="6">
        <f>HYPERLINK("https://map.naver.com/p/search/전동면 청람리 459", "지도Link")</f>
        <v/>
      </c>
      <c r="N2753" s="6">
        <f>HYPERLINK("http://www.eum.go.kr/web/ar/lu/luLandDet.jsp?pnu=3611038028104590000&amp;isNoScr=script&amp;mode=search", "토지이음")</f>
        <v/>
      </c>
      <c r="O2753" s="3" t="inlineStr">
        <is>
          <t>세종소담114</t>
        </is>
      </c>
      <c r="P2753" s="4" t="n">
        <v>2</v>
      </c>
      <c r="Q2753" s="4" t="n">
        <v>2582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청람리 459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43000</v>
      </c>
      <c r="G2754" s="4" t="n">
        <v>2582</v>
      </c>
      <c r="H2754" s="4" t="n">
        <v>781</v>
      </c>
      <c r="I2754" s="5" t="n">
        <v>55.1</v>
      </c>
      <c r="J2754" s="5" t="n">
        <v>17.1</v>
      </c>
      <c r="K2754" s="3" t="inlineStr">
        <is>
          <t>생산관리지역성장관리계획구역</t>
        </is>
      </c>
      <c r="L2754" s="6">
        <f>HYPERLINK("https://fin.land.naver.com/articles/2655617228", "매물Link")</f>
        <v/>
      </c>
      <c r="M2754" s="6">
        <f>HYPERLINK("https://map.naver.com/p/search/전동면 청람리 459", "지도Link")</f>
        <v/>
      </c>
      <c r="N2754" s="6">
        <f>HYPERLINK("http://www.eum.go.kr/web/ar/lu/luLandDet.jsp?pnu=3611038028104590000&amp;isNoScr=script&amp;mode=search", "토지이음")</f>
        <v/>
      </c>
      <c r="O2754" s="3" t="inlineStr">
        <is>
          <t>세종몽땅</t>
        </is>
      </c>
      <c r="P2754" s="4" t="n">
        <v>1</v>
      </c>
      <c r="Q2754" s="4" t="n">
        <v>2582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전동면 청람리 465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17000</v>
      </c>
      <c r="G2755" s="4" t="n">
        <v>1177</v>
      </c>
      <c r="H2755" s="4" t="n">
        <v>356</v>
      </c>
      <c r="I2755" s="5" t="n">
        <v>47.8</v>
      </c>
      <c r="J2755" s="5" t="n">
        <v>15.2</v>
      </c>
      <c r="K2755" s="3" t="inlineStr">
        <is>
          <t>이웃토지와 함께 매매원함,복숭아밭 농사중.</t>
        </is>
      </c>
      <c r="L2755" s="6">
        <f>HYPERLINK("https://fin.land.naver.com/articles/2653234776", "매물Link")</f>
        <v/>
      </c>
      <c r="M2755" s="6">
        <f>HYPERLINK("https://map.naver.com/p/search/전동면 청람리 465", "지도Link")</f>
        <v/>
      </c>
      <c r="N2755" s="6">
        <f>HYPERLINK("http://www.eum.go.kr/web/ar/lu/luLandDet.jsp?pnu=3611038028104650000&amp;isNoScr=script&amp;mode=search", "토지이음")</f>
        <v/>
      </c>
      <c r="O2755" s="3" t="inlineStr">
        <is>
          <t>주공그린빌</t>
        </is>
      </c>
      <c r="P2755" s="4" t="n">
        <v>1</v>
      </c>
      <c r="Q2755" s="4" t="n">
        <v>1177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전동면 청람리 467</t>
        </is>
      </c>
      <c r="B2756" s="3" t="inlineStr">
        <is>
          <t>생산관리지역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16000</v>
      </c>
      <c r="G2756" s="4" t="n">
        <v>866</v>
      </c>
      <c r="H2756" s="4" t="n">
        <v>262</v>
      </c>
      <c r="I2756" s="5" t="n">
        <v>61.1</v>
      </c>
      <c r="J2756" s="5" t="n">
        <v>15.2</v>
      </c>
      <c r="K2756" s="3" t="inlineStr">
        <is>
          <t>주말농장으로 추천</t>
        </is>
      </c>
      <c r="L2756" s="6">
        <f>HYPERLINK("https://fin.land.naver.com/articles/2655705874", "매물Link")</f>
        <v/>
      </c>
      <c r="M2756" s="6">
        <f>HYPERLINK("https://map.naver.com/p/search/전동면 청람리 467", "지도Link")</f>
        <v/>
      </c>
      <c r="N2756" s="6">
        <f>HYPERLINK("http://www.eum.go.kr/web/ar/lu/luLandDet.jsp?pnu=3611038028104670000&amp;isNoScr=script&amp;mode=search", "토지이음")</f>
        <v/>
      </c>
      <c r="O2756" s="3" t="inlineStr">
        <is>
          <t>세종베스트</t>
        </is>
      </c>
      <c r="P2756" s="4" t="n">
        <v>1</v>
      </c>
      <c r="Q2756" s="4" t="n">
        <v>866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세로한면(불)</t>
        </is>
      </c>
    </row>
    <row r="2757">
      <c r="A2757" s="3" t="inlineStr">
        <is>
          <t>전동면 청람리 470-2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50000</v>
      </c>
      <c r="G2757" s="4" t="n">
        <v>2440</v>
      </c>
      <c r="H2757" s="4" t="n">
        <v>738</v>
      </c>
      <c r="I2757" s="5" t="n">
        <v>67.8</v>
      </c>
      <c r="J2757" s="5" t="n">
        <v>15.2</v>
      </c>
      <c r="K2757" s="3" t="inlineStr">
        <is>
          <t>도로에 접한 평평한, 놀기 좋은 토지</t>
        </is>
      </c>
      <c r="L2757" s="6">
        <f>HYPERLINK("https://fin.land.naver.com/articles/2654367512", "매물Link")</f>
        <v/>
      </c>
      <c r="M2757" s="6">
        <f>HYPERLINK("https://map.naver.com/p/search/전동면 청람리 470-2", "지도Link")</f>
        <v/>
      </c>
      <c r="N2757" s="6">
        <f>HYPERLINK("http://www.eum.go.kr/web/ar/lu/luLandDet.jsp?pnu=3611038028104700002&amp;isNoScr=script&amp;mode=search", "토지이음")</f>
        <v/>
      </c>
      <c r="O2757" s="3" t="inlineStr">
        <is>
          <t>OK파라곤</t>
        </is>
      </c>
      <c r="P2757" s="4" t="n">
        <v>1</v>
      </c>
      <c r="Q2757" s="4" t="n">
        <v>625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전동면 청람리 68-2</t>
        </is>
      </c>
      <c r="B2758" s="3" t="inlineStr">
        <is>
          <t>농림지역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45000</v>
      </c>
      <c r="G2758" s="4" t="n">
        <v>3677</v>
      </c>
      <c r="H2758" s="4" t="n">
        <v>1112</v>
      </c>
      <c r="I2758" s="5" t="n">
        <v>40.5</v>
      </c>
      <c r="J2758" s="5" t="n">
        <v>14.4</v>
      </c>
      <c r="K2758" s="3" t="inlineStr">
        <is>
          <t>답</t>
        </is>
      </c>
      <c r="L2758" s="6">
        <f>HYPERLINK("https://fin.land.naver.com/articles/2652770012", "매물Link")</f>
        <v/>
      </c>
      <c r="M2758" s="6">
        <f>HYPERLINK("https://map.naver.com/p/search/전동면 청람리 68-2", "지도Link")</f>
        <v/>
      </c>
      <c r="N2758" s="6">
        <f>HYPERLINK("http://www.eum.go.kr/web/ar/lu/luLandDet.jsp?pnu=3611038028100680002&amp;isNoScr=script&amp;mode=search", "토지이음")</f>
        <v/>
      </c>
      <c r="O2758" s="3" t="inlineStr">
        <is>
          <t>원진</t>
        </is>
      </c>
      <c r="P2758" s="4" t="n">
        <v>1</v>
      </c>
      <c r="Q2758" s="4" t="n">
        <v>3677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세로장방</t>
        </is>
      </c>
      <c r="V2758" s="3" t="inlineStr">
        <is>
          <t>소로한면</t>
        </is>
      </c>
    </row>
    <row r="2759">
      <c r="A2759" s="3" t="inlineStr">
        <is>
          <t>전동면 청람리 68-2</t>
        </is>
      </c>
      <c r="B2759" s="3" t="inlineStr">
        <is>
          <t>농림지역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60000</v>
      </c>
      <c r="G2759" s="4" t="n">
        <v>3677</v>
      </c>
      <c r="H2759" s="4" t="n">
        <v>1112</v>
      </c>
      <c r="I2759" s="5" t="n">
        <v>54</v>
      </c>
      <c r="J2759" s="5" t="n">
        <v>14.4</v>
      </c>
      <c r="K2759" s="3" t="inlineStr">
        <is>
          <t>2차선도로에 접한 토지</t>
        </is>
      </c>
      <c r="L2759" s="6">
        <f>HYPERLINK("https://fin.land.naver.com/articles/2650856634", "매물Link")</f>
        <v/>
      </c>
      <c r="M2759" s="6">
        <f>HYPERLINK("https://map.naver.com/p/search/전동면 청람리 68-2", "지도Link")</f>
        <v/>
      </c>
      <c r="N2759" s="6">
        <f>HYPERLINK("http://www.eum.go.kr/web/ar/lu/luLandDet.jsp?pnu=3611038028100680002&amp;isNoScr=script&amp;mode=search", "토지이음")</f>
        <v/>
      </c>
      <c r="O2759" s="3" t="inlineStr">
        <is>
          <t>세종대박</t>
        </is>
      </c>
      <c r="P2759" s="4" t="n">
        <v>1</v>
      </c>
      <c r="Q2759" s="4" t="n">
        <v>3677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세로장방</t>
        </is>
      </c>
      <c r="V2759" s="3" t="inlineStr">
        <is>
          <t>소로한면</t>
        </is>
      </c>
    </row>
    <row r="2760">
      <c r="A2760" s="3" t="inlineStr">
        <is>
          <t>전동면 청람리 산44-1</t>
        </is>
      </c>
      <c r="B2760" s="3" t="inlineStr">
        <is>
          <t>농림지역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28000</v>
      </c>
      <c r="G2760" s="4" t="n">
        <v>11549</v>
      </c>
      <c r="H2760" s="4" t="n">
        <v>3494</v>
      </c>
      <c r="I2760" s="5" t="n">
        <v>8</v>
      </c>
      <c r="J2760" s="5" t="n">
        <v>2.3</v>
      </c>
      <c r="K2760" s="3" t="inlineStr">
        <is>
          <t>서울세종고속도로및세종벤처벨리인근 개발가능성 많은 임야</t>
        </is>
      </c>
      <c r="L2760" s="6">
        <f>HYPERLINK("https://fin.land.naver.com/articles/2652292664", "매물Link")</f>
        <v/>
      </c>
      <c r="M2760" s="6">
        <f>HYPERLINK("https://map.naver.com/p/search/전동면 청람리 산44-1", "지도Link")</f>
        <v/>
      </c>
      <c r="N2760" s="6">
        <f>HYPERLINK("http://www.eum.go.kr/web/ar/lu/luLandDet.jsp?pnu=3611038028200440001&amp;isNoScr=script&amp;mode=search", "토지이음")</f>
        <v/>
      </c>
      <c r="O2760" s="3" t="inlineStr">
        <is>
          <t>세종강남</t>
        </is>
      </c>
      <c r="P2760" s="4" t="n">
        <v>1</v>
      </c>
      <c r="Q2760" s="4" t="n">
        <v>11549</v>
      </c>
      <c r="R2760" s="3" t="inlineStr">
        <is>
          <t>보전관리지역</t>
        </is>
      </c>
      <c r="S2760" s="3" t="inlineStr">
        <is>
          <t>자연림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전동면 청람리 산44-7</t>
        </is>
      </c>
      <c r="B2761" s="3" t="inlineStr">
        <is>
          <t>보전관리지역</t>
        </is>
      </c>
      <c r="C2761" s="3" t="inlineStr">
        <is>
          <t>임야</t>
        </is>
      </c>
      <c r="D2761" s="3" t="inlineStr">
        <is>
          <t>임야</t>
        </is>
      </c>
      <c r="E2761" s="3" t="inlineStr">
        <is>
          <t>매매</t>
        </is>
      </c>
      <c r="F2761" s="4" t="n">
        <v>100000</v>
      </c>
      <c r="G2761" s="4" t="n">
        <v>20826</v>
      </c>
      <c r="H2761" s="4" t="n">
        <v>6300</v>
      </c>
      <c r="I2761" s="5" t="n">
        <v>15.9</v>
      </c>
      <c r="J2761" s="5" t="n">
        <v>4</v>
      </c>
      <c r="K2761" s="3" t="inlineStr">
        <is>
          <t>도로접,임야,조율가능,향후 투자가지있음,주변산단</t>
        </is>
      </c>
      <c r="L2761" s="6">
        <f>HYPERLINK("https://fin.land.naver.com/articles/2653535180", "매물Link")</f>
        <v/>
      </c>
      <c r="M2761" s="6">
        <f>HYPERLINK("https://map.naver.com/p/search/전동면 청람리 산44-7", "지도Link")</f>
        <v/>
      </c>
      <c r="N2761" s="6">
        <f>HYPERLINK("http://www.eum.go.kr/web/ar/lu/luLandDet.jsp?pnu=3611038028200440007&amp;isNoScr=script&amp;mode=search", "토지이음")</f>
        <v/>
      </c>
      <c r="O2761" s="3" t="inlineStr">
        <is>
          <t>세종산울랜드마크</t>
        </is>
      </c>
      <c r="P2761" s="4" t="n">
        <v>1</v>
      </c>
      <c r="Q2761" s="4" t="n">
        <v>20687</v>
      </c>
      <c r="R2761" s="3" t="inlineStr">
        <is>
          <t>농림지역</t>
        </is>
      </c>
      <c r="S2761" s="3" t="inlineStr">
        <is>
          <t>자연림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산80-5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71500</v>
      </c>
      <c r="G2762" s="4" t="n">
        <v>9465</v>
      </c>
      <c r="H2762" s="4" t="n">
        <v>2863</v>
      </c>
      <c r="I2762" s="5" t="n">
        <v>25</v>
      </c>
      <c r="J2762" s="5" t="n">
        <v>1.6</v>
      </c>
      <c r="K2762" s="3" t="inlineStr">
        <is>
          <t>경사도 완만하고 마을 안길 포장도로에 접한 농림지역 임야입니다</t>
        </is>
      </c>
      <c r="L2762" s="6">
        <f>HYPERLINK("https://fin.land.naver.com/articles/2651942036", "매물Link")</f>
        <v/>
      </c>
      <c r="M2762" s="6">
        <f>HYPERLINK("https://map.naver.com/p/search/전동면 청람리 산80-5", "지도Link")</f>
        <v/>
      </c>
      <c r="N2762" s="6">
        <f>HYPERLINK("http://www.eum.go.kr/web/ar/lu/luLandDet.jsp?pnu=3611038028200800005&amp;isNoScr=script&amp;mode=search", "토지이음")</f>
        <v/>
      </c>
      <c r="O2762" s="3" t="inlineStr">
        <is>
          <t>스마일세종</t>
        </is>
      </c>
      <c r="P2762" s="4" t="n">
        <v>1</v>
      </c>
      <c r="Q2762" s="4" t="n">
        <v>9465</v>
      </c>
      <c r="R2762" s="3" t="inlineStr">
        <is>
          <t>생산관리지역</t>
        </is>
      </c>
      <c r="S2762" s="3" t="inlineStr">
        <is>
          <t>자연림</t>
        </is>
      </c>
      <c r="T2762" s="3" t="inlineStr">
        <is>
          <t>급경사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청송리 118-2</t>
        </is>
      </c>
      <c r="B2763" s="3" t="inlineStr">
        <is>
          <t>보전관리지역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68000</v>
      </c>
      <c r="G2763" s="4" t="n">
        <v>2105</v>
      </c>
      <c r="H2763" s="4" t="n">
        <v>637</v>
      </c>
      <c r="I2763" s="5" t="n">
        <v>106.8</v>
      </c>
      <c r="J2763" s="5" t="n">
        <v>25.5</v>
      </c>
      <c r="K2763" s="3" t="inlineStr">
        <is>
          <t>보전관리 전, 노장농공단지, 청송농공단지,세종벤처벨리산업단지 접근성 최상</t>
        </is>
      </c>
      <c r="L2763" s="6">
        <f>HYPERLINK("https://fin.land.naver.com/articles/2656434138", "매물Link")</f>
        <v/>
      </c>
      <c r="M2763" s="6">
        <f>HYPERLINK("https://map.naver.com/p/search/전동면 청송리 118-2", "지도Link")</f>
        <v/>
      </c>
      <c r="N2763" s="6">
        <f>HYPERLINK("http://www.eum.go.kr/web/ar/lu/luLandDet.jsp?pnu=3611038023101180002&amp;isNoScr=script&amp;mode=search", "토지이음")</f>
        <v/>
      </c>
      <c r="O2763" s="3" t="inlineStr">
        <is>
          <t>세종일조</t>
        </is>
      </c>
      <c r="P2763" s="4" t="n">
        <v>1</v>
      </c>
      <c r="Q2763" s="4" t="n">
        <v>1361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청송리 191-3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3500</v>
      </c>
      <c r="G2764" s="4" t="n">
        <v>294</v>
      </c>
      <c r="H2764" s="4" t="n">
        <v>89</v>
      </c>
      <c r="I2764" s="5" t="n">
        <v>39.3</v>
      </c>
      <c r="J2764" s="5" t="n">
        <v>18</v>
      </c>
      <c r="K2764" s="3" t="inlineStr">
        <is>
          <t>nan</t>
        </is>
      </c>
      <c r="L2764" s="6">
        <f>HYPERLINK("https://fin.land.naver.com/articles/2651051508", "매물Link")</f>
        <v/>
      </c>
      <c r="M2764" s="6">
        <f>HYPERLINK("https://map.naver.com/p/search/전동면 청송리 191-3", "지도Link")</f>
        <v/>
      </c>
      <c r="N2764" s="6">
        <f>HYPERLINK("http://www.eum.go.kr/web/ar/lu/luLandDet.jsp?pnu=3611038023101910003&amp;isNoScr=script&amp;mode=search", "토지이음")</f>
        <v/>
      </c>
      <c r="O2764" s="3" t="inlineStr">
        <is>
          <t>동원탑</t>
        </is>
      </c>
      <c r="P2764" s="4" t="n">
        <v>1</v>
      </c>
      <c r="Q2764" s="4" t="n">
        <v>294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맹지</t>
        </is>
      </c>
    </row>
    <row r="2765">
      <c r="A2765" s="3" t="inlineStr">
        <is>
          <t>전동면 청송리 286</t>
        </is>
      </c>
      <c r="B2765" s="3" t="inlineStr">
        <is>
          <t>계획관리지역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75000</v>
      </c>
      <c r="G2765" s="4" t="n">
        <v>3834</v>
      </c>
      <c r="H2765" s="4" t="n">
        <v>1160</v>
      </c>
      <c r="I2765" s="5" t="n">
        <v>64.7</v>
      </c>
      <c r="J2765" s="5" t="n">
        <v>20.4</v>
      </c>
      <c r="K2765" s="3" t="inlineStr">
        <is>
          <t>농가주택·농업용 창고·체험농장 활용 검토</t>
        </is>
      </c>
      <c r="L2765" s="6">
        <f>HYPERLINK("https://fin.land.naver.com/articles/2654185488", "매물Link")</f>
        <v/>
      </c>
      <c r="M2765" s="6">
        <f>HYPERLINK("https://map.naver.com/p/search/전동면 청송리 286", "지도Link")</f>
        <v/>
      </c>
      <c r="N2765" s="6">
        <f>HYPERLINK("http://www.eum.go.kr/web/ar/lu/luLandDet.jsp?pnu=3611038023102860000&amp;isNoScr=script&amp;mode=search", "토지이음")</f>
        <v/>
      </c>
      <c r="O2765" s="3" t="inlineStr">
        <is>
          <t>세종소담황금</t>
        </is>
      </c>
      <c r="P2765" s="4" t="n">
        <v>1</v>
      </c>
      <c r="Q2765" s="4" t="n">
        <v>3835</v>
      </c>
      <c r="R2765" s="3" t="inlineStr">
        <is>
          <t>지정되지않음</t>
        </is>
      </c>
      <c r="S2765" s="3" t="inlineStr">
        <is>
          <t>과수원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청송리 407</t>
        </is>
      </c>
      <c r="B2766" s="3" t="inlineStr">
        <is>
          <t>계획관리지역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40500</v>
      </c>
      <c r="G2766" s="4" t="n">
        <v>3818</v>
      </c>
      <c r="H2766" s="4" t="n">
        <v>1155</v>
      </c>
      <c r="I2766" s="5" t="n">
        <v>35.1</v>
      </c>
      <c r="J2766" s="5" t="n">
        <v>16.9</v>
      </c>
      <c r="K2766" s="3" t="inlineStr">
        <is>
          <t>청송리 귀농인 주택 및 농장지로 추천 관리지역토지</t>
        </is>
      </c>
      <c r="L2766" s="6">
        <f>HYPERLINK("https://fin.land.naver.com/articles/2655566958", "매물Link")</f>
        <v/>
      </c>
      <c r="M2766" s="6">
        <f>HYPERLINK("https://map.naver.com/p/search/전동면 청송리 407", "지도Link")</f>
        <v/>
      </c>
      <c r="N2766" s="6">
        <f>HYPERLINK("http://www.eum.go.kr/web/ar/lu/luLandDet.jsp?pnu=3611038023104070000&amp;isNoScr=script&amp;mode=search", "토지이음")</f>
        <v/>
      </c>
      <c r="O2766" s="3" t="inlineStr">
        <is>
          <t>오송k랜드</t>
        </is>
      </c>
      <c r="P2766" s="4" t="n">
        <v>1</v>
      </c>
      <c r="Q2766" s="4" t="n">
        <v>3818</v>
      </c>
      <c r="R2766" s="3" t="inlineStr">
        <is>
          <t>지정되지않음</t>
        </is>
      </c>
      <c r="S2766" s="3" t="inlineStr">
        <is>
          <t>과수원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청송리 475-2</t>
        </is>
      </c>
      <c r="B2767" s="3" t="inlineStr">
        <is>
          <t>보전관리지역</t>
        </is>
      </c>
      <c r="C2767" s="3" t="inlineStr">
        <is>
          <t>도로</t>
        </is>
      </c>
      <c r="D2767" s="3" t="inlineStr">
        <is>
          <t>전</t>
        </is>
      </c>
      <c r="E2767" s="3" t="inlineStr">
        <is>
          <t>매매</t>
        </is>
      </c>
      <c r="F2767" s="4" t="n">
        <v>7800</v>
      </c>
      <c r="G2767" s="4" t="n">
        <v>198</v>
      </c>
      <c r="H2767" s="4" t="n">
        <v>60</v>
      </c>
      <c r="I2767" s="5" t="n">
        <v>130</v>
      </c>
      <c r="J2767" s="5" t="n">
        <v>10.9</v>
      </c>
      <c r="K2767" s="3" t="inlineStr">
        <is>
          <t>계획관리 도로접 소형토지, 쉼터텃밭장기보유 검토지</t>
        </is>
      </c>
      <c r="L2767" s="6">
        <f>HYPERLINK("https://fin.land.naver.com/articles/2651253476", "매물Link")</f>
        <v/>
      </c>
      <c r="M2767" s="6">
        <f>HYPERLINK("https://map.naver.com/p/search/전동면 청송리 475-2", "지도Link")</f>
        <v/>
      </c>
      <c r="N2767" s="6">
        <f>HYPERLINK("http://www.eum.go.kr/web/ar/lu/luLandDet.jsp?pnu=3611038023104750002&amp;isNoScr=script&amp;mode=search", "토지이음")</f>
        <v/>
      </c>
      <c r="O2767" s="3" t="inlineStr">
        <is>
          <t>세종소담황금</t>
        </is>
      </c>
      <c r="P2767" s="4" t="n">
        <v>1</v>
      </c>
      <c r="Q2767" s="4" t="n">
        <v>109</v>
      </c>
      <c r="R2767" s="3" t="inlineStr">
        <is>
          <t>지정되지않음</t>
        </is>
      </c>
      <c r="S2767" s="3" t="inlineStr">
        <is>
          <t>도로등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지정되지않음</t>
        </is>
      </c>
    </row>
    <row r="2768">
      <c r="A2768" s="3" t="inlineStr">
        <is>
          <t>전동면 청송리 69-1</t>
        </is>
      </c>
      <c r="B2768" s="3" t="inlineStr">
        <is>
          <t>농림지역</t>
        </is>
      </c>
      <c r="C2768" s="3" t="inlineStr">
        <is>
          <t>과수원</t>
        </is>
      </c>
      <c r="D2768" s="3" t="inlineStr">
        <is>
          <t>과수원</t>
        </is>
      </c>
      <c r="E2768" s="3" t="inlineStr">
        <is>
          <t>매매</t>
        </is>
      </c>
      <c r="F2768" s="4" t="n">
        <v>35000</v>
      </c>
      <c r="G2768" s="4" t="n">
        <v>6249</v>
      </c>
      <c r="H2768" s="4" t="n">
        <v>1890</v>
      </c>
      <c r="I2768" s="5" t="n">
        <v>18.5</v>
      </c>
      <c r="J2768" s="5" t="n">
        <v>15.6</v>
      </c>
      <c r="K2768" s="3" t="inlineStr">
        <is>
          <t>노장농공단지 전동산업단지 인근 두필지 토지 매매, 가격 협의 가능</t>
        </is>
      </c>
      <c r="L2768" s="6">
        <f>HYPERLINK("https://fin.land.naver.com/articles/2652201758", "매물Link")</f>
        <v/>
      </c>
      <c r="M2768" s="6">
        <f>HYPERLINK("https://map.naver.com/p/search/전동면 청송리 69-1", "지도Link")</f>
        <v/>
      </c>
      <c r="N2768" s="6">
        <f>HYPERLINK("http://www.eum.go.kr/web/ar/lu/luLandDet.jsp?pnu=3611038023100690001&amp;isNoScr=script&amp;mode=search", "토지이음")</f>
        <v/>
      </c>
      <c r="O2768" s="3" t="inlineStr">
        <is>
          <t>봉담내리지구찐</t>
        </is>
      </c>
      <c r="P2768" s="4" t="n">
        <v>1</v>
      </c>
      <c r="Q2768" s="4" t="n">
        <v>4800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청송리 69-5</t>
        </is>
      </c>
      <c r="B2769" s="3" t="inlineStr">
        <is>
          <t>계획관리지역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26000</v>
      </c>
      <c r="G2769" s="4" t="n">
        <v>876</v>
      </c>
      <c r="H2769" s="4" t="n">
        <v>265</v>
      </c>
      <c r="I2769" s="5" t="n">
        <v>98.09999999999999</v>
      </c>
      <c r="J2769" s="5" t="n">
        <v>23</v>
      </c>
      <c r="K2769" s="3" t="inlineStr">
        <is>
          <t>세종시 계획관리에 성장관리지역 토지 매매.조절가능</t>
        </is>
      </c>
      <c r="L2769" s="6">
        <f>HYPERLINK("https://fin.land.naver.com/articles/2652365867", "매물Link")</f>
        <v/>
      </c>
      <c r="M2769" s="6">
        <f>HYPERLINK("https://map.naver.com/p/search/전동면 청송리 69-5", "지도Link")</f>
        <v/>
      </c>
      <c r="N2769" s="6">
        <f>HYPERLINK("http://www.eum.go.kr/web/ar/lu/luLandDet.jsp?pnu=3611038023100690005&amp;isNoScr=script&amp;mode=search", "토지이음")</f>
        <v/>
      </c>
      <c r="O2769" s="3" t="inlineStr">
        <is>
          <t>유성대박</t>
        </is>
      </c>
      <c r="P2769" s="4" t="n">
        <v>1</v>
      </c>
      <c r="Q2769" s="4" t="n">
        <v>446</v>
      </c>
      <c r="R2769" s="3" t="inlineStr">
        <is>
          <t>지정되지않음</t>
        </is>
      </c>
      <c r="S2769" s="3" t="inlineStr">
        <is>
          <t>답기타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세로한면(불)</t>
        </is>
      </c>
    </row>
    <row r="2770">
      <c r="A2770" s="3" t="inlineStr">
        <is>
          <t>전동면 청송리 69-6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34500</v>
      </c>
      <c r="G2770" s="4" t="n">
        <v>1106</v>
      </c>
      <c r="H2770" s="4" t="n">
        <v>335</v>
      </c>
      <c r="I2770" s="5" t="n">
        <v>103</v>
      </c>
      <c r="J2770" s="5" t="n">
        <v>24.2</v>
      </c>
      <c r="K2770" s="3" t="inlineStr">
        <is>
          <t>세종시 계획관리에 성장관리지역 토지 매매.조절가능</t>
        </is>
      </c>
      <c r="L2770" s="6">
        <f>HYPERLINK("https://fin.land.naver.com/articles/2652365126", "매물Link")</f>
        <v/>
      </c>
      <c r="M2770" s="6">
        <f>HYPERLINK("https://map.naver.com/p/search/전동면 청송리 69-6", "지도Link")</f>
        <v/>
      </c>
      <c r="N2770" s="6">
        <f>HYPERLINK("http://www.eum.go.kr/web/ar/lu/luLandDet.jsp?pnu=3611038023100690006&amp;isNoScr=script&amp;mode=search", "토지이음")</f>
        <v/>
      </c>
      <c r="O2770" s="3" t="inlineStr">
        <is>
          <t>유성대박</t>
        </is>
      </c>
      <c r="P2770" s="4" t="n">
        <v>1</v>
      </c>
      <c r="Q2770" s="4" t="n">
        <v>364</v>
      </c>
      <c r="R2770" s="3" t="inlineStr">
        <is>
          <t>지정되지않음</t>
        </is>
      </c>
      <c r="S2770" s="3" t="inlineStr">
        <is>
          <t>답기타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전동면 청송리 73-16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4000</v>
      </c>
      <c r="G2771" s="4" t="n">
        <v>110</v>
      </c>
      <c r="H2771" s="4" t="n">
        <v>33</v>
      </c>
      <c r="I2771" s="5" t="n">
        <v>121.2</v>
      </c>
      <c r="J2771" s="5" t="n">
        <v>30.9</v>
      </c>
      <c r="K2771" s="3" t="inlineStr">
        <is>
          <t>소형농지, 현황도로있음</t>
        </is>
      </c>
      <c r="L2771" s="6">
        <f>HYPERLINK("https://fin.land.naver.com/articles/2654273471", "매물Link")</f>
        <v/>
      </c>
      <c r="M2771" s="6">
        <f>HYPERLINK("https://map.naver.com/p/search/전동면 청송리 73-16", "지도Link")</f>
        <v/>
      </c>
      <c r="N2771" s="6">
        <f>HYPERLINK("http://www.eum.go.kr/web/ar/lu/luLandDet.jsp?pnu=3611038023100730016&amp;isNoScr=script&amp;mode=search",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110</v>
      </c>
      <c r="R2771" s="3" t="inlineStr">
        <is>
          <t>지정되지않음</t>
        </is>
      </c>
      <c r="S2771" s="3" t="inlineStr">
        <is>
          <t>전기타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전동면 청송리 산28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75000</v>
      </c>
      <c r="G2772" s="4" t="n">
        <v>20826</v>
      </c>
      <c r="H2772" s="4" t="n">
        <v>6300</v>
      </c>
      <c r="I2772" s="5" t="n">
        <v>11.9</v>
      </c>
      <c r="J2772" s="5" t="n">
        <v>2.2</v>
      </c>
      <c r="K2772" s="3" t="inlineStr">
        <is>
          <t>보전관리지역</t>
        </is>
      </c>
      <c r="L2772" s="6">
        <f>HYPERLINK("https://fin.land.naver.com/articles/2653767094", "매물Link")</f>
        <v/>
      </c>
      <c r="M2772" s="6">
        <f>HYPERLINK("https://map.naver.com/p/search/전동면 청송리 산28", "지도Link")</f>
        <v/>
      </c>
      <c r="N2772" s="6">
        <f>HYPERLINK("http://www.eum.go.kr/web/ar/lu/luLandDet.jsp?pnu=3611038023200280000&amp;isNoScr=script&amp;mode=search", "토지이음")</f>
        <v/>
      </c>
      <c r="O2772" s="3" t="inlineStr">
        <is>
          <t>대원</t>
        </is>
      </c>
      <c r="P2772" s="4" t="n">
        <v>1</v>
      </c>
      <c r="Q2772" s="4" t="n">
        <v>20826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관정리 184-5</t>
        </is>
      </c>
      <c r="B2773" s="3" t="inlineStr">
        <is>
          <t>계획관리지역</t>
        </is>
      </c>
      <c r="C2773" s="3" t="inlineStr">
        <is>
          <t>대</t>
        </is>
      </c>
      <c r="D2773" s="3" t="inlineStr">
        <is>
          <t>전</t>
        </is>
      </c>
      <c r="E2773" s="3" t="inlineStr">
        <is>
          <t>매매</t>
        </is>
      </c>
      <c r="F2773" s="4" t="n">
        <v>36000</v>
      </c>
      <c r="G2773" s="4" t="n">
        <v>1977</v>
      </c>
      <c r="H2773" s="4" t="n">
        <v>598</v>
      </c>
      <c r="I2773" s="5" t="n">
        <v>60.2</v>
      </c>
      <c r="J2773" s="5" t="n">
        <v>41</v>
      </c>
      <c r="K2773" s="3" t="inlineStr">
        <is>
          <t>nan</t>
        </is>
      </c>
      <c r="L2773" s="6">
        <f>HYPERLINK("https://fin.land.naver.com/articles/2653535511", "매물Link")</f>
        <v/>
      </c>
      <c r="M2773" s="6">
        <f>HYPERLINK("https://map.naver.com/p/search/전의면 관정리 184-5", "지도Link")</f>
        <v/>
      </c>
      <c r="N2773" s="6">
        <f>HYPERLINK("http://www.eum.go.kr/web/ar/lu/luLandDet.jsp?pnu=3611037027101840005&amp;isNoScr=script&amp;mode=search", "토지이음")</f>
        <v/>
      </c>
      <c r="O2773" s="3" t="inlineStr">
        <is>
          <t>진선미</t>
        </is>
      </c>
      <c r="P2773" s="4" t="n">
        <v>1</v>
      </c>
      <c r="Q2773" s="4" t="n">
        <v>288</v>
      </c>
      <c r="R2773" s="3" t="inlineStr">
        <is>
          <t>지정되지않음</t>
        </is>
      </c>
      <c r="S2773" s="3" t="inlineStr">
        <is>
          <t>단독</t>
        </is>
      </c>
      <c r="T2773" s="3" t="inlineStr">
        <is>
          <t>평지</t>
        </is>
      </c>
      <c r="U2773" s="3" t="inlineStr">
        <is>
          <t>가로장방</t>
        </is>
      </c>
      <c r="V2773" s="3" t="inlineStr">
        <is>
          <t>세로한면(가)</t>
        </is>
      </c>
    </row>
    <row r="2774">
      <c r="A2774" s="3" t="inlineStr">
        <is>
          <t>전의면 관정리 191-14</t>
        </is>
      </c>
      <c r="B2774" s="3" t="inlineStr">
        <is>
          <t>계획관리지역</t>
        </is>
      </c>
      <c r="C2774" s="3" t="inlineStr">
        <is>
          <t>임야</t>
        </is>
      </c>
      <c r="D2774" s="3" t="inlineStr">
        <is>
          <t>임야</t>
        </is>
      </c>
      <c r="E2774" s="3" t="inlineStr">
        <is>
          <t>매매</t>
        </is>
      </c>
      <c r="F2774" s="4" t="n">
        <v>141000</v>
      </c>
      <c r="G2774" s="4" t="n">
        <v>4660</v>
      </c>
      <c r="H2774" s="4" t="n">
        <v>1410</v>
      </c>
      <c r="I2774" s="5" t="n">
        <v>100</v>
      </c>
      <c r="J2774" s="5" t="n">
        <v>3.2</v>
      </c>
      <c r="K2774" s="3" t="inlineStr">
        <is>
          <t>계획관리 지역, 진로하이트 공장 인접, 산업단지 많은곳</t>
        </is>
      </c>
      <c r="L2774" s="6">
        <f>HYPERLINK("https://fin.land.naver.com/articles/2650941899", "매물Link")</f>
        <v/>
      </c>
      <c r="M2774" s="6">
        <f>HYPERLINK("https://map.naver.com/p/search/전의면 관정리 191-14", "지도Link")</f>
        <v/>
      </c>
      <c r="N2774" s="6">
        <f>HYPERLINK("http://www.eum.go.kr/web/ar/lu/luLandDet.jsp?pnu=3611037027101910014&amp;isNoScr=script&amp;mode=search", "토지이음")</f>
        <v/>
      </c>
      <c r="O2774" s="3" t="inlineStr">
        <is>
          <t>OK세종 사무소</t>
        </is>
      </c>
      <c r="P2774" s="4" t="n">
        <v>1</v>
      </c>
      <c r="Q2774" s="4" t="n">
        <v>4660</v>
      </c>
      <c r="R2774" s="3" t="inlineStr">
        <is>
          <t>농림지역</t>
        </is>
      </c>
      <c r="S2774" s="3" t="inlineStr">
        <is>
          <t>조림</t>
        </is>
      </c>
      <c r="T2774" s="3" t="inlineStr">
        <is>
          <t>완경사</t>
        </is>
      </c>
      <c r="U2774" s="3" t="inlineStr">
        <is>
          <t>부정형</t>
        </is>
      </c>
      <c r="V2774" s="3" t="inlineStr">
        <is>
          <t>맹지</t>
        </is>
      </c>
    </row>
    <row r="2775">
      <c r="A2775" s="3" t="inlineStr">
        <is>
          <t>전의면 관정리 227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2671</v>
      </c>
      <c r="H2775" s="4" t="n">
        <v>808</v>
      </c>
      <c r="I2775" s="5" t="n">
        <v>30.9</v>
      </c>
      <c r="J2775" s="5" t="n">
        <v>16</v>
      </c>
      <c r="K2775" s="3" t="inlineStr">
        <is>
          <t>급매 추천 계획관리 여러용도가능 현재주말농장</t>
        </is>
      </c>
      <c r="L2775" s="6">
        <f>HYPERLINK("https://fin.land.naver.com/articles/2653045203", "매물Link")</f>
        <v/>
      </c>
      <c r="M2775" s="6">
        <f>HYPERLINK("https://map.naver.com/p/search/전의면 관정리 227", "지도Link")</f>
        <v/>
      </c>
      <c r="N2775" s="6">
        <f>HYPERLINK("http://www.eum.go.kr/web/ar/lu/luLandDet.jsp?pnu=3611037027102270000&amp;isNoScr=script&amp;mode=search", "토지이음")</f>
        <v/>
      </c>
      <c r="O2775" s="3" t="inlineStr">
        <is>
          <t>새롬이지</t>
        </is>
      </c>
      <c r="P2775" s="4" t="n">
        <v>3</v>
      </c>
      <c r="Q2775" s="4" t="n">
        <v>2671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맹지</t>
        </is>
      </c>
    </row>
    <row r="2776">
      <c r="A2776" s="3" t="inlineStr">
        <is>
          <t>전의면 관정리 229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42000</v>
      </c>
      <c r="G2776" s="4" t="n">
        <v>2000</v>
      </c>
      <c r="H2776" s="4" t="n">
        <v>605</v>
      </c>
      <c r="I2776" s="5" t="n">
        <v>69.40000000000001</v>
      </c>
      <c r="J2776" s="5" t="n">
        <v>16</v>
      </c>
      <c r="K2776" s="3" t="inlineStr">
        <is>
          <t>nan</t>
        </is>
      </c>
      <c r="L2776" s="6">
        <f>HYPERLINK("https://fin.land.naver.com/articles/2656370571", "매물Link")</f>
        <v/>
      </c>
      <c r="M2776" s="6">
        <f>HYPERLINK("https://map.naver.com/p/search/전의면 관정리 229", "지도Link")</f>
        <v/>
      </c>
      <c r="N2776" s="6">
        <f>HYPERLINK("http://www.eum.go.kr/web/ar/lu/luLandDet.jsp?pnu=3611037027102290000&amp;isNoScr=script&amp;mode=search", "토지이음")</f>
        <v/>
      </c>
      <c r="O2776" s="3" t="inlineStr">
        <is>
          <t>1등사무소</t>
        </is>
      </c>
      <c r="P2776" s="4" t="n">
        <v>1</v>
      </c>
      <c r="Q2776" s="4" t="n">
        <v>2000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맹지</t>
        </is>
      </c>
    </row>
    <row r="2777">
      <c r="A2777" s="3" t="inlineStr">
        <is>
          <t>전의면 관정리 253-6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114000</v>
      </c>
      <c r="G2777" s="4" t="n">
        <v>1002</v>
      </c>
      <c r="H2777" s="4" t="n">
        <v>303</v>
      </c>
      <c r="I2777" s="5" t="n">
        <v>376.2</v>
      </c>
      <c r="J2777" s="5" t="n">
        <v>44.9</v>
      </c>
      <c r="K2777" s="3" t="inlineStr">
        <is>
          <t>nan</t>
        </is>
      </c>
      <c r="L2777" s="6">
        <f>HYPERLINK("https://fin.land.naver.com/articles/2656428322", "매물Link")</f>
        <v/>
      </c>
      <c r="M2777" s="6">
        <f>HYPERLINK("https://map.naver.com/p/search/전의면 관정리 253-6", "지도Link")</f>
        <v/>
      </c>
      <c r="N2777" s="6">
        <f>HYPERLINK("http://www.eum.go.kr/web/ar/lu/luLandDet.jsp?pnu=3611037027102530006&amp;isNoScr=script&amp;mode=search", "토지이음")</f>
        <v/>
      </c>
      <c r="O2777" s="3" t="inlineStr">
        <is>
          <t>날개</t>
        </is>
      </c>
      <c r="P2777" s="4" t="n">
        <v>2</v>
      </c>
      <c r="Q2777" s="4" t="n">
        <v>1002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전의면 관정리 260-2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53000</v>
      </c>
      <c r="G2778" s="4" t="n">
        <v>1858</v>
      </c>
      <c r="H2778" s="4" t="n">
        <v>562</v>
      </c>
      <c r="I2778" s="5" t="n">
        <v>94.3</v>
      </c>
      <c r="J2778" s="5" t="n">
        <v>49</v>
      </c>
      <c r="K2778" s="3" t="inlineStr">
        <is>
          <t>예쁜 농막 있어요 실수요 투자 모두 가능한 대도로변 토지</t>
        </is>
      </c>
      <c r="L2778" s="6">
        <f>HYPERLINK("https://fin.land.naver.com/articles/2654611576", "매물Link")</f>
        <v/>
      </c>
      <c r="M2778" s="6">
        <f>HYPERLINK("https://map.naver.com/p/search/전의면 관정리 260-2", "지도Link")</f>
        <v/>
      </c>
      <c r="N2778" s="6">
        <f>HYPERLINK("http://www.eum.go.kr/web/ar/lu/luLandDet.jsp?pnu=3611037027102600002&amp;isNoScr=script&amp;mode=search", "토지이음")</f>
        <v/>
      </c>
      <c r="O2778" s="3" t="inlineStr">
        <is>
          <t>아임</t>
        </is>
      </c>
      <c r="P2778" s="4" t="n">
        <v>1</v>
      </c>
      <c r="Q2778" s="4" t="n">
        <v>1858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관정리 260-2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53000</v>
      </c>
      <c r="G2779" s="4" t="n">
        <v>1858</v>
      </c>
      <c r="H2779" s="4" t="n">
        <v>562</v>
      </c>
      <c r="I2779" s="5" t="n">
        <v>94.3</v>
      </c>
      <c r="J2779" s="5" t="n">
        <v>49</v>
      </c>
      <c r="K2779" s="3" t="inlineStr">
        <is>
          <t>전의산업단지 인근 토지, 한국콜마공장옆, 투자용 강추, 아로니아농장매</t>
        </is>
      </c>
      <c r="L2779" s="6">
        <f>HYPERLINK("https://fin.land.naver.com/articles/2655904685", "매물Link")</f>
        <v/>
      </c>
      <c r="M2779" s="6">
        <f>HYPERLINK("https://map.naver.com/p/search/전의면 관정리 260-2", "지도Link")</f>
        <v/>
      </c>
      <c r="N2779" s="6">
        <f>HYPERLINK("http://www.eum.go.kr/web/ar/lu/luLandDet.jsp?pnu=3611037027102600002&amp;isNoScr=script&amp;mode=search", "토지이음")</f>
        <v/>
      </c>
      <c r="O2779" s="3" t="inlineStr">
        <is>
          <t>도안힐스재벌</t>
        </is>
      </c>
      <c r="P2779" s="4" t="n">
        <v>1</v>
      </c>
      <c r="Q2779" s="4" t="n">
        <v>1858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관정리 261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35000</v>
      </c>
      <c r="G2780" s="4" t="n">
        <v>1127</v>
      </c>
      <c r="H2780" s="4" t="n">
        <v>341</v>
      </c>
      <c r="I2780" s="5" t="n">
        <v>102.6</v>
      </c>
      <c r="J2780" s="5" t="n">
        <v>51.7</v>
      </c>
      <c r="K2780" s="3" t="inlineStr">
        <is>
          <t>전의산업단지 인근 실수요 투자 모두 가능한 대도로변 토지</t>
        </is>
      </c>
      <c r="L2780" s="6">
        <f>HYPERLINK("https://fin.land.naver.com/articles/2655646437", "매물Link")</f>
        <v/>
      </c>
      <c r="M2780" s="6">
        <f>HYPERLINK("https://map.naver.com/p/search/전의면 관정리 261", "지도Link")</f>
        <v/>
      </c>
      <c r="N2780" s="6">
        <f>HYPERLINK("http://www.eum.go.kr/web/ar/lu/luLandDet.jsp?pnu=3611037027102610000&amp;isNoScr=script&amp;mode=search", "토지이음")</f>
        <v/>
      </c>
      <c r="O2780" s="3" t="inlineStr">
        <is>
          <t>아임</t>
        </is>
      </c>
      <c r="P2780" s="4" t="n">
        <v>1</v>
      </c>
      <c r="Q2780" s="4" t="n">
        <v>1127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관정리 424-2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29000</v>
      </c>
      <c r="G2781" s="4" t="n">
        <v>232</v>
      </c>
      <c r="H2781" s="4" t="n">
        <v>70</v>
      </c>
      <c r="I2781" s="5" t="n">
        <v>414.3</v>
      </c>
      <c r="J2781" s="5" t="n">
        <v>32.1</v>
      </c>
      <c r="K2781" s="3" t="inlineStr">
        <is>
          <t>nan</t>
        </is>
      </c>
      <c r="L2781" s="6">
        <f>HYPERLINK("https://fin.land.naver.com/articles/2653373510", "매물Link")</f>
        <v/>
      </c>
      <c r="M2781" s="6">
        <f>HYPERLINK("https://map.naver.com/p/search/전의면 관정리 424-2", "지도Link")</f>
        <v/>
      </c>
      <c r="N2781" s="6">
        <f>HYPERLINK("http://www.eum.go.kr/web/ar/lu/luLandDet.jsp?pnu=3611037027104240002&amp;isNoScr=script&amp;mode=search", "토지이음")</f>
        <v/>
      </c>
      <c r="O2781" s="3" t="inlineStr">
        <is>
          <t>라클래시명문</t>
        </is>
      </c>
      <c r="P2781" s="4" t="n">
        <v>1</v>
      </c>
      <c r="Q2781" s="4" t="n">
        <v>251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세로한면(불)</t>
        </is>
      </c>
    </row>
    <row r="2782">
      <c r="A2782" s="3" t="inlineStr">
        <is>
          <t>전의면 관정리 428-2</t>
        </is>
      </c>
      <c r="B2782" s="3" t="inlineStr">
        <is>
          <t>계획관리지역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104800</v>
      </c>
      <c r="G2782" s="4" t="n">
        <v>3464</v>
      </c>
      <c r="H2782" s="4" t="n">
        <v>1048</v>
      </c>
      <c r="I2782" s="5" t="n">
        <v>100</v>
      </c>
      <c r="J2782" s="5" t="n">
        <v>4.4</v>
      </c>
      <c r="K2782" s="3" t="inlineStr">
        <is>
          <t>공장 및 근생용지로 허가득  토목공사 완료 전용비 납부완료</t>
        </is>
      </c>
      <c r="L2782" s="6">
        <f>HYPERLINK("https://fin.land.naver.com/articles/2651710796", "매물Link")</f>
        <v/>
      </c>
      <c r="M2782" s="6">
        <f>HYPERLINK("https://map.naver.com/p/search/전의면 관정리 428-2", "지도Link")</f>
        <v/>
      </c>
      <c r="N2782" s="6">
        <f>HYPERLINK("http://www.eum.go.kr/web/ar/lu/luLandDet.jsp?pnu=3611037027104280002&amp;isNoScr=script&amp;mode=search", "토지이음")</f>
        <v/>
      </c>
      <c r="O2782" s="3" t="inlineStr">
        <is>
          <t>번영</t>
        </is>
      </c>
      <c r="P2782" s="4" t="n">
        <v>1</v>
      </c>
      <c r="Q2782" s="4" t="n">
        <v>2003</v>
      </c>
      <c r="R2782" s="3" t="inlineStr">
        <is>
          <t>지정되지않음</t>
        </is>
      </c>
      <c r="S2782" s="3" t="inlineStr">
        <is>
          <t>자연림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전의면 관정리 429-8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138500</v>
      </c>
      <c r="G2783" s="4" t="n">
        <v>4567</v>
      </c>
      <c r="H2783" s="4" t="n">
        <v>1382</v>
      </c>
      <c r="I2783" s="5" t="n">
        <v>100.2</v>
      </c>
      <c r="J2783" s="5" t="n">
        <v>21.1</v>
      </c>
      <c r="K2783" s="3" t="inlineStr">
        <is>
          <t>공장용지 허가완료 토목완료 물류 공자 창고 추천</t>
        </is>
      </c>
      <c r="L2783" s="6">
        <f>HYPERLINK("https://fin.land.naver.com/articles/2651733827", "매물Link")</f>
        <v/>
      </c>
      <c r="M2783" s="6">
        <f>HYPERLINK("https://map.naver.com/p/search/전의면 관정리 429-8", "지도Link")</f>
        <v/>
      </c>
      <c r="N2783" s="6">
        <f>HYPERLINK("http://www.eum.go.kr/web/ar/lu/luLandDet.jsp?pnu=3611037027104290008&amp;isNoScr=script&amp;mode=search", "토지이음")</f>
        <v/>
      </c>
      <c r="O2783" s="3" t="inlineStr">
        <is>
          <t>THE행복</t>
        </is>
      </c>
      <c r="P2783" s="4" t="n">
        <v>1</v>
      </c>
      <c r="Q2783" s="4" t="n">
        <v>4567</v>
      </c>
      <c r="R2783" s="3" t="inlineStr">
        <is>
          <t>지정되지않음</t>
        </is>
      </c>
      <c r="S2783" s="3" t="inlineStr">
        <is>
          <t>전기타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관정리 430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535000</v>
      </c>
      <c r="G2784" s="4" t="n">
        <v>17687</v>
      </c>
      <c r="H2784" s="4" t="n">
        <v>5350</v>
      </c>
      <c r="I2784" s="5" t="n">
        <v>100</v>
      </c>
      <c r="J2784" s="5" t="n">
        <v>27.4</v>
      </c>
      <c r="K2784" s="3" t="inlineStr">
        <is>
          <t>공장 및 근생 허가 득하고 토목공사 완료되고 전용비 납부완료</t>
        </is>
      </c>
      <c r="L2784" s="6">
        <f>HYPERLINK("https://fin.land.naver.com/articles/2651710777", "매물Link")</f>
        <v/>
      </c>
      <c r="M2784" s="6">
        <f>HYPERLINK("https://map.naver.com/p/search/전의면 관정리 430", "지도Link")</f>
        <v/>
      </c>
      <c r="N2784" s="6">
        <f>HYPERLINK("http://www.eum.go.kr/web/ar/lu/luLandDet.jsp?pnu=3611037027104300000&amp;isNoScr=script&amp;mode=search", "토지이음")</f>
        <v/>
      </c>
      <c r="O2784" s="3" t="inlineStr">
        <is>
          <t>번영</t>
        </is>
      </c>
      <c r="P2784" s="4" t="n">
        <v>1</v>
      </c>
      <c r="Q2784" s="4" t="n">
        <v>3299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관정리 504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40000</v>
      </c>
      <c r="G2785" s="4" t="n">
        <v>1332</v>
      </c>
      <c r="H2785" s="4" t="n">
        <v>403</v>
      </c>
      <c r="I2785" s="5" t="n">
        <v>99.3</v>
      </c>
      <c r="J2785" s="5" t="n">
        <v>18</v>
      </c>
      <c r="K2785" s="3" t="inlineStr">
        <is>
          <t>산업단지들이 가까운 관정리 계획관리. 전으로 이용중</t>
        </is>
      </c>
      <c r="L2785" s="6">
        <f>HYPERLINK("https://fin.land.naver.com/articles/2652112781", "매물Link")</f>
        <v/>
      </c>
      <c r="M2785" s="6">
        <f>HYPERLINK("https://map.naver.com/p/search/전의면 관정리 504", "지도Link")</f>
        <v/>
      </c>
      <c r="N2785" s="6">
        <f>HYPERLINK("http://www.eum.go.kr/web/ar/lu/luLandDet.jsp?pnu=3611037027105040000&amp;isNoScr=script&amp;mode=search",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1266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맹지</t>
        </is>
      </c>
    </row>
    <row r="2786">
      <c r="A2786" s="3" t="inlineStr">
        <is>
          <t>전의면 관정리 600</t>
        </is>
      </c>
      <c r="B2786" s="3" t="inlineStr">
        <is>
          <t>계획관리지역</t>
        </is>
      </c>
      <c r="C2786" s="3" t="inlineStr">
        <is>
          <t>잡종지</t>
        </is>
      </c>
      <c r="D2786" s="3" t="inlineStr">
        <is>
          <t>잡종지</t>
        </is>
      </c>
      <c r="E2786" s="3" t="inlineStr">
        <is>
          <t>월세</t>
        </is>
      </c>
      <c r="F2786" s="4" t="n">
        <v>30000</v>
      </c>
      <c r="G2786" s="4" t="n">
        <v>30418</v>
      </c>
      <c r="H2786" s="4" t="n">
        <v>9201</v>
      </c>
      <c r="I2786" s="5" t="n">
        <v>0.2</v>
      </c>
      <c r="J2786" s="5" t="n">
        <v>26.7</v>
      </c>
      <c r="K2786" s="3" t="inlineStr">
        <is>
          <t>경부고속도로,세종전의 산단인접 대형 야적장,주차장부지</t>
        </is>
      </c>
      <c r="L2786" s="6">
        <f>HYPERLINK("https://fin.land.naver.com/articles/2652644152", "매물Link")</f>
        <v/>
      </c>
      <c r="M2786" s="6">
        <f>HYPERLINK("https://map.naver.com/p/search/전의면 관정리 600", "지도Link")</f>
        <v/>
      </c>
      <c r="N2786" s="6">
        <f>HYPERLINK("http://www.eum.go.kr/web/ar/lu/luLandDet.jsp?pnu=3611037027106000000&amp;isNoScr=script&amp;mode=search", "토지이음")</f>
        <v/>
      </c>
      <c r="O2786" s="3" t="inlineStr">
        <is>
          <t>한길</t>
        </is>
      </c>
      <c r="P2786" s="4" t="n">
        <v>1</v>
      </c>
      <c r="Q2786" s="4" t="n">
        <v>7890</v>
      </c>
      <c r="R2786" s="3" t="inlineStr">
        <is>
          <t>지정되지않음</t>
        </is>
      </c>
      <c r="S2786" s="3" t="inlineStr">
        <is>
          <t>전창고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관정리 660-20</t>
        </is>
      </c>
      <c r="B2787" s="3" t="inlineStr">
        <is>
          <t>계획관리지역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298000</v>
      </c>
      <c r="G2787" s="4" t="n">
        <v>3945</v>
      </c>
      <c r="H2787" s="4" t="n">
        <v>1193</v>
      </c>
      <c r="I2787" s="5" t="n">
        <v>249.8</v>
      </c>
      <c r="J2787" s="5" t="n">
        <v>42.8</v>
      </c>
      <c r="K2787" s="3" t="inlineStr">
        <is>
          <t>도로25m 4차선 접한  계획관리 다목적용 토지,필지별 분할매매가능</t>
        </is>
      </c>
      <c r="L2787" s="6">
        <f>HYPERLINK("https://fin.land.naver.com/articles/2652651665", "매물Link")</f>
        <v/>
      </c>
      <c r="M2787" s="6">
        <f>HYPERLINK("https://map.naver.com/p/search/전의면 관정리 660-20", "지도Link")</f>
        <v/>
      </c>
      <c r="N2787" s="6">
        <f>HYPERLINK("http://www.eum.go.kr/web/ar/lu/luLandDet.jsp?pnu=3611037027106600020&amp;isNoScr=script&amp;mode=search", "토지이음")</f>
        <v/>
      </c>
      <c r="O2787" s="3" t="inlineStr">
        <is>
          <t>신부다온</t>
        </is>
      </c>
      <c r="P2787" s="4" t="n">
        <v>1</v>
      </c>
      <c r="Q2787" s="4" t="n">
        <v>2868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관정리 721</t>
        </is>
      </c>
      <c r="B2788" s="3" t="inlineStr">
        <is>
          <t>일반공업지역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70000</v>
      </c>
      <c r="G2788" s="4" t="n">
        <v>494</v>
      </c>
      <c r="H2788" s="4" t="n">
        <v>149</v>
      </c>
      <c r="I2788" s="5" t="n">
        <v>469.8</v>
      </c>
      <c r="J2788" s="5" t="n">
        <v>140.6</v>
      </c>
      <c r="K2788" s="3" t="inlineStr">
        <is>
          <t>l S l 전의산업단지 l 지원시설용지 l 신축 용도 추천 l</t>
        </is>
      </c>
      <c r="L2788" s="6">
        <f>HYPERLINK("https://fin.land.naver.com/articles/2656374286", "매물Link")</f>
        <v/>
      </c>
      <c r="M2788" s="6">
        <f>HYPERLINK("https://map.naver.com/p/search/전의면 관정리 721", "지도Link")</f>
        <v/>
      </c>
      <c r="N2788" s="6">
        <f>HYPERLINK("http://www.eum.go.kr/web/ar/lu/luLandDet.jsp?pnu=3611037027107210000&amp;isNoScr=script&amp;mode=search", "토지이음")</f>
        <v/>
      </c>
      <c r="O2788" s="3" t="inlineStr">
        <is>
          <t>에스</t>
        </is>
      </c>
      <c r="P2788" s="4" t="n">
        <v>1</v>
      </c>
      <c r="Q2788" s="4" t="n">
        <v>494.2</v>
      </c>
      <c r="R2788" s="3" t="inlineStr">
        <is>
          <t>지정되지않음</t>
        </is>
      </c>
      <c r="S2788" s="3" t="inlineStr">
        <is>
          <t>상업나지</t>
        </is>
      </c>
      <c r="T2788" s="3" t="inlineStr">
        <is>
          <t>평지</t>
        </is>
      </c>
      <c r="U2788" s="3" t="inlineStr">
        <is>
          <t>세로장방</t>
        </is>
      </c>
      <c r="V2788" s="3" t="inlineStr">
        <is>
          <t>중로각지</t>
        </is>
      </c>
    </row>
    <row r="2789">
      <c r="A2789" s="3" t="inlineStr">
        <is>
          <t>전의면 관정리 721</t>
        </is>
      </c>
      <c r="B2789" s="3" t="inlineStr">
        <is>
          <t>일반공업지역</t>
        </is>
      </c>
      <c r="C2789" s="3" t="inlineStr">
        <is>
          <t>대</t>
        </is>
      </c>
      <c r="D2789" s="3" t="inlineStr">
        <is>
          <t>대</t>
        </is>
      </c>
      <c r="E2789" s="3" t="inlineStr">
        <is>
          <t>매매</t>
        </is>
      </c>
      <c r="F2789" s="4" t="n">
        <v>70000</v>
      </c>
      <c r="G2789" s="4" t="n">
        <v>494</v>
      </c>
      <c r="H2789" s="4" t="n">
        <v>149</v>
      </c>
      <c r="I2789" s="5" t="n">
        <v>469.8</v>
      </c>
      <c r="J2789" s="5" t="n">
        <v>140.6</v>
      </c>
      <c r="K2789" s="3" t="inlineStr">
        <is>
          <t>나대지 전의면 일반산업단지 내  지원시설구역</t>
        </is>
      </c>
      <c r="L2789" s="6">
        <f>HYPERLINK("https://fin.land.naver.com/articles/2655549145", "매물Link")</f>
        <v/>
      </c>
      <c r="M2789" s="6">
        <f>HYPERLINK("https://map.naver.com/p/search/전의면 관정리 721", "지도Link")</f>
        <v/>
      </c>
      <c r="N2789" s="6">
        <f>HYPERLINK("http://www.eum.go.kr/web/ar/lu/luLandDet.jsp?pnu=3611037027107210000&amp;isNoScr=script&amp;mode=search", "토지이음")</f>
        <v/>
      </c>
      <c r="O2789" s="3" t="inlineStr">
        <is>
          <t>트리풀신화</t>
        </is>
      </c>
      <c r="P2789" s="4" t="n">
        <v>1</v>
      </c>
      <c r="Q2789" s="4" t="n">
        <v>494.2</v>
      </c>
      <c r="R2789" s="3" t="inlineStr">
        <is>
          <t>지정되지않음</t>
        </is>
      </c>
      <c r="S2789" s="3" t="inlineStr">
        <is>
          <t>상업나지</t>
        </is>
      </c>
      <c r="T2789" s="3" t="inlineStr">
        <is>
          <t>평지</t>
        </is>
      </c>
      <c r="U2789" s="3" t="inlineStr">
        <is>
          <t>세로장방</t>
        </is>
      </c>
      <c r="V2789" s="3" t="inlineStr">
        <is>
          <t>중로각지</t>
        </is>
      </c>
    </row>
    <row r="2790">
      <c r="A2790" s="3" t="inlineStr">
        <is>
          <t>전의면 관정리 79</t>
        </is>
      </c>
      <c r="B2790" s="3" t="inlineStr">
        <is>
          <t>농림지역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13000</v>
      </c>
      <c r="G2790" s="4" t="n">
        <v>1329</v>
      </c>
      <c r="H2790" s="4" t="n">
        <v>402</v>
      </c>
      <c r="I2790" s="5" t="n">
        <v>32.3</v>
      </c>
      <c r="J2790" s="5" t="n">
        <v>14.8</v>
      </c>
      <c r="K2790" s="3" t="inlineStr">
        <is>
          <t>급하게 매매요</t>
        </is>
      </c>
      <c r="L2790" s="6">
        <f>HYPERLINK("https://fin.land.naver.com/articles/2652364273", "매물Link")</f>
        <v/>
      </c>
      <c r="M2790" s="6">
        <f>HYPERLINK("https://map.naver.com/p/search/전의면 관정리 79", "지도Link")</f>
        <v/>
      </c>
      <c r="N2790" s="6">
        <f>HYPERLINK("http://www.eum.go.kr/web/ar/lu/luLandDet.jsp?pnu=3611037027100790000&amp;isNoScr=script&amp;mode=search", "토지이음")</f>
        <v/>
      </c>
      <c r="O2790" s="3" t="inlineStr">
        <is>
          <t>세종</t>
        </is>
      </c>
      <c r="P2790" s="4" t="n">
        <v>1</v>
      </c>
      <c r="Q2790" s="4" t="n">
        <v>1329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관정리 산1-3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전</t>
        </is>
      </c>
      <c r="E2791" s="3" t="inlineStr">
        <is>
          <t>매매</t>
        </is>
      </c>
      <c r="F2791" s="4" t="n">
        <v>2300000</v>
      </c>
      <c r="G2791" s="4" t="n">
        <v>37543</v>
      </c>
      <c r="H2791" s="4" t="n">
        <v>11357</v>
      </c>
      <c r="I2791" s="5" t="n">
        <v>202.5</v>
      </c>
      <c r="J2791" s="5" t="n">
        <v>15.7</v>
      </c>
      <c r="K2791" s="3" t="inlineStr">
        <is>
          <t>4차선 및 2차선 도로접 계획관리 분할매도 가능</t>
        </is>
      </c>
      <c r="L2791" s="6">
        <f>HYPERLINK("https://fin.land.naver.com/articles/2654750533", "매물Link")</f>
        <v/>
      </c>
      <c r="M2791" s="6">
        <f>HYPERLINK("https://map.naver.com/p/search/전의면 관정리 산1-3", "지도Link")</f>
        <v/>
      </c>
      <c r="N2791" s="6">
        <f>HYPERLINK("http://www.eum.go.kr/web/ar/lu/luLandDet.jsp?pnu=3611037027200010003&amp;isNoScr=script&amp;mode=search", "토지이음")</f>
        <v/>
      </c>
      <c r="O2791" s="3" t="inlineStr">
        <is>
          <t>광장(프라자)</t>
        </is>
      </c>
      <c r="P2791" s="4" t="n">
        <v>1</v>
      </c>
      <c r="Q2791" s="4" t="n">
        <v>1687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산66</t>
        </is>
      </c>
      <c r="B2792" s="3" t="inlineStr">
        <is>
          <t>계획관리지역</t>
        </is>
      </c>
      <c r="C2792" s="3" t="inlineStr">
        <is>
          <t>임야</t>
        </is>
      </c>
      <c r="D2792" s="3" t="inlineStr">
        <is>
          <t>임야</t>
        </is>
      </c>
      <c r="E2792" s="3" t="inlineStr">
        <is>
          <t>매매</t>
        </is>
      </c>
      <c r="F2792" s="4" t="n">
        <v>567000</v>
      </c>
      <c r="G2792" s="4" t="n">
        <v>53517</v>
      </c>
      <c r="H2792" s="4" t="n">
        <v>16189</v>
      </c>
      <c r="I2792" s="5" t="n">
        <v>35</v>
      </c>
      <c r="J2792" s="5" t="n">
        <v>4</v>
      </c>
      <c r="K2792" s="3" t="inlineStr">
        <is>
          <t>도로접한 토지 추천</t>
        </is>
      </c>
      <c r="L2792" s="6">
        <f>HYPERLINK("https://fin.land.naver.com/articles/2652928166", "매물Link")</f>
        <v/>
      </c>
      <c r="M2792" s="6">
        <f>HYPERLINK("https://map.naver.com/p/search/전의면 관정리 산66", "지도Link")</f>
        <v/>
      </c>
      <c r="N2792" s="6">
        <f>HYPERLINK("http://www.eum.go.kr/web/ar/lu/luLandDet.jsp?pnu=3611037027200660000&amp;isNoScr=script&amp;mode=search", "토지이음")</f>
        <v/>
      </c>
      <c r="O2792" s="3" t="inlineStr">
        <is>
          <t>국제</t>
        </is>
      </c>
      <c r="P2792" s="4" t="n">
        <v>1</v>
      </c>
      <c r="Q2792" s="4" t="n">
        <v>45602</v>
      </c>
      <c r="R2792" s="3" t="inlineStr">
        <is>
          <t>농림지역</t>
        </is>
      </c>
      <c r="S2792" s="3" t="inlineStr">
        <is>
          <t>자연림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전의면 관정리 산66</t>
        </is>
      </c>
      <c r="B2793" s="3" t="inlineStr">
        <is>
          <t>계획관리지역</t>
        </is>
      </c>
      <c r="C2793" s="3" t="inlineStr">
        <is>
          <t>임야</t>
        </is>
      </c>
      <c r="D2793" s="3" t="inlineStr">
        <is>
          <t>임야</t>
        </is>
      </c>
      <c r="E2793" s="3" t="inlineStr">
        <is>
          <t>매매</t>
        </is>
      </c>
      <c r="F2793" s="4" t="n">
        <v>560000</v>
      </c>
      <c r="G2793" s="4" t="n">
        <v>53517</v>
      </c>
      <c r="H2793" s="4" t="n">
        <v>16189</v>
      </c>
      <c r="I2793" s="5" t="n">
        <v>34.6</v>
      </c>
      <c r="J2793" s="5" t="n">
        <v>4</v>
      </c>
      <c r="K2793" s="3" t="inlineStr">
        <is>
          <t>공장, 창고, 다용도, 2차선 접함.</t>
        </is>
      </c>
      <c r="L2793" s="6">
        <f>HYPERLINK("https://fin.land.naver.com/articles/2655311353", "매물Link")</f>
        <v/>
      </c>
      <c r="M2793" s="6">
        <f>HYPERLINK("https://map.naver.com/p/search/전의면 관정리 산66", "지도Link")</f>
        <v/>
      </c>
      <c r="N2793" s="6">
        <f>HYPERLINK("http://www.eum.go.kr/web/ar/lu/luLandDet.jsp?pnu=3611037027200660000&amp;isNoScr=script&amp;mode=search", "토지이음")</f>
        <v/>
      </c>
      <c r="O2793" s="3" t="inlineStr">
        <is>
          <t>천안대성</t>
        </is>
      </c>
      <c r="P2793" s="4" t="n">
        <v>1</v>
      </c>
      <c r="Q2793" s="4" t="n">
        <v>45602</v>
      </c>
      <c r="R2793" s="3" t="inlineStr">
        <is>
          <t>농림지역</t>
        </is>
      </c>
      <c r="S2793" s="3" t="inlineStr">
        <is>
          <t>자연림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전의면 금사리 130-2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28000</v>
      </c>
      <c r="G2794" s="4" t="n">
        <v>1322</v>
      </c>
      <c r="H2794" s="4" t="n">
        <v>400</v>
      </c>
      <c r="I2794" s="5" t="n">
        <v>70</v>
      </c>
      <c r="J2794" s="5" t="n">
        <v>15.7</v>
      </c>
      <c r="K2794" s="3" t="inlineStr">
        <is>
          <t>계획관리토지매매</t>
        </is>
      </c>
      <c r="L2794" s="6">
        <f>HYPERLINK("https://fin.land.naver.com/articles/2655032775", "매물Link")</f>
        <v/>
      </c>
      <c r="M2794" s="6">
        <f>HYPERLINK("https://map.naver.com/p/search/전의면 금사리 130-2", "지도Link")</f>
        <v/>
      </c>
      <c r="N2794" s="6">
        <f>HYPERLINK("http://www.eum.go.kr/web/ar/lu/luLandDet.jsp?pnu=3611037034101300002&amp;isNoScr=script&amp;mode=search", "토지이음")</f>
        <v/>
      </c>
      <c r="O2794" s="3" t="inlineStr">
        <is>
          <t>세종대박</t>
        </is>
      </c>
      <c r="P2794" s="4" t="n">
        <v>1</v>
      </c>
      <c r="Q2794" s="4" t="n">
        <v>1322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금사리 131-2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67000</v>
      </c>
      <c r="G2795" s="4" t="n">
        <v>2469</v>
      </c>
      <c r="H2795" s="4" t="n">
        <v>747</v>
      </c>
      <c r="I2795" s="5" t="n">
        <v>89.7</v>
      </c>
      <c r="J2795" s="5" t="n">
        <v>15.7</v>
      </c>
      <c r="K2795" s="3" t="inlineStr">
        <is>
          <t>산업단지 인근 지역 대토용 토지</t>
        </is>
      </c>
      <c r="L2795" s="6">
        <f>HYPERLINK("https://fin.land.naver.com/articles/2652406062", "매물Link")</f>
        <v/>
      </c>
      <c r="M2795" s="6">
        <f>HYPERLINK("https://map.naver.com/p/search/전의면 금사리 131-2", "지도Link")</f>
        <v/>
      </c>
      <c r="N2795" s="6">
        <f>HYPERLINK("http://www.eum.go.kr/web/ar/lu/luLandDet.jsp?pnu=3611037034101310002&amp;isNoScr=script&amp;mode=search", "토지이음")</f>
        <v/>
      </c>
      <c r="O2795" s="3" t="inlineStr">
        <is>
          <t>강우림</t>
        </is>
      </c>
      <c r="P2795" s="4" t="n">
        <v>1</v>
      </c>
      <c r="Q2795" s="4" t="n">
        <v>2469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전의면 금사리 159-2</t>
        </is>
      </c>
      <c r="B2796" s="3" t="inlineStr">
        <is>
          <t>생산관리지역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30000</v>
      </c>
      <c r="G2796" s="4" t="n">
        <v>721</v>
      </c>
      <c r="H2796" s="4" t="n">
        <v>218</v>
      </c>
      <c r="I2796" s="5" t="n">
        <v>137.6</v>
      </c>
      <c r="J2796" s="5" t="n">
        <v>16.8</v>
      </c>
      <c r="K2796" s="3" t="inlineStr">
        <is>
          <t>정안IC 인접, 토목완료된 세종 북부권 도로접 평탄지</t>
        </is>
      </c>
      <c r="L2796" s="6">
        <f>HYPERLINK("https://fin.land.naver.com/articles/2655033862", "매물Link")</f>
        <v/>
      </c>
      <c r="M2796" s="6">
        <f>HYPERLINK("https://map.naver.com/p/search/전의면 금사리 159-2", "지도Link")</f>
        <v/>
      </c>
      <c r="N2796" s="6">
        <f>HYPERLINK("http://www.eum.go.kr/web/ar/lu/luLandDet.jsp?pnu=3611037034101590002&amp;isNoScr=script&amp;mode=search", "토지이음")</f>
        <v/>
      </c>
      <c r="O2796" s="3" t="inlineStr">
        <is>
          <t>세종소담황금</t>
        </is>
      </c>
      <c r="P2796" s="4" t="n">
        <v>1</v>
      </c>
      <c r="Q2796" s="4" t="n">
        <v>721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정방형</t>
        </is>
      </c>
      <c r="V2796" s="3" t="inlineStr">
        <is>
          <t>소로한면</t>
        </is>
      </c>
    </row>
    <row r="2797">
      <c r="A2797" s="3" t="inlineStr">
        <is>
          <t>전의면 금사리 182-2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43000</v>
      </c>
      <c r="G2797" s="4" t="n">
        <v>3260</v>
      </c>
      <c r="H2797" s="4" t="n">
        <v>986</v>
      </c>
      <c r="I2797" s="5" t="n">
        <v>43.6</v>
      </c>
      <c r="J2797" s="5" t="n">
        <v>13.5</v>
      </c>
      <c r="K2797" s="3" t="inlineStr">
        <is>
          <t>nan</t>
        </is>
      </c>
      <c r="L2797" s="6">
        <f>HYPERLINK("https://fin.land.naver.com/articles/2653585190", "매물Link")</f>
        <v/>
      </c>
      <c r="M2797" s="6">
        <f>HYPERLINK("https://map.naver.com/p/search/전의면 금사리 182-2", "지도Link")</f>
        <v/>
      </c>
      <c r="N2797" s="6">
        <f>HYPERLINK("http://www.eum.go.kr/web/ar/lu/luLandDet.jsp?pnu=3611037034101820002&amp;isNoScr=script&amp;mode=search", "토지이음")</f>
        <v/>
      </c>
      <c r="O2797" s="3" t="inlineStr">
        <is>
          <t>양달</t>
        </is>
      </c>
      <c r="P2797" s="4" t="n">
        <v>1</v>
      </c>
      <c r="Q2797" s="4" t="n">
        <v>3260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금사리 264-1</t>
        </is>
      </c>
      <c r="B2798" s="3" t="inlineStr">
        <is>
          <t>보전관리지역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42000</v>
      </c>
      <c r="G2798" s="4" t="n">
        <v>3967</v>
      </c>
      <c r="H2798" s="4" t="n">
        <v>1200</v>
      </c>
      <c r="I2798" s="5" t="n">
        <v>35</v>
      </c>
      <c r="J2798" s="5" t="n">
        <v>8</v>
      </c>
      <c r="K2798" s="3" t="inlineStr">
        <is>
          <t>태양광 전기 시설 가능한 토지</t>
        </is>
      </c>
      <c r="L2798" s="6">
        <f>HYPERLINK("https://fin.land.naver.com/articles/2652100948", "매물Link")</f>
        <v/>
      </c>
      <c r="M2798" s="6">
        <f>HYPERLINK("https://map.naver.com/p/search/전의면 금사리 264-1", "지도Link")</f>
        <v/>
      </c>
      <c r="N2798" s="6">
        <f>HYPERLINK("http://www.eum.go.kr/web/ar/lu/luLandDet.jsp?pnu=3611037034102640001&amp;isNoScr=script&amp;mode=search", "토지이음")</f>
        <v/>
      </c>
      <c r="O2798" s="3" t="inlineStr">
        <is>
          <t>강우림</t>
        </is>
      </c>
      <c r="P2798" s="4" t="n">
        <v>1</v>
      </c>
      <c r="Q2798" s="4" t="n">
        <v>3967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금사리 60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7560</v>
      </c>
      <c r="G2799" s="4" t="n">
        <v>833</v>
      </c>
      <c r="H2799" s="4" t="n">
        <v>252</v>
      </c>
      <c r="I2799" s="5" t="n">
        <v>30</v>
      </c>
      <c r="J2799" s="5" t="n">
        <v>10.2</v>
      </c>
      <c r="K2799" s="3" t="inlineStr">
        <is>
          <t>생산관리 저렴한 토지 농로 있음</t>
        </is>
      </c>
      <c r="L2799" s="6">
        <f>HYPERLINK("https://fin.land.naver.com/articles/2656444216", "매물Link")</f>
        <v/>
      </c>
      <c r="M2799" s="6">
        <f>HYPERLINK("https://map.naver.com/p/search/전의면 금사리 60", "지도Link")</f>
        <v/>
      </c>
      <c r="N2799" s="6">
        <f>HYPERLINK("http://www.eum.go.kr/web/ar/lu/luLandDet.jsp?pnu=3611037034100600000&amp;isNoScr=script&amp;mode=search", "토지이음")</f>
        <v/>
      </c>
      <c r="O2799" s="3" t="inlineStr">
        <is>
          <t>(주)정민근</t>
        </is>
      </c>
      <c r="P2799" s="4" t="n">
        <v>1</v>
      </c>
      <c r="Q2799" s="4" t="n">
        <v>833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금사리 73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18000</v>
      </c>
      <c r="G2800" s="4" t="n">
        <v>1481</v>
      </c>
      <c r="H2800" s="4" t="n">
        <v>448</v>
      </c>
      <c r="I2800" s="5" t="n">
        <v>40.2</v>
      </c>
      <c r="J2800" s="5" t="n">
        <v>8.800000000000001</v>
      </c>
      <c r="K2800" s="3" t="inlineStr">
        <is>
          <t>전의면 금사리 생산관리 토지 매매, 도로 옆, 영농활동 및 농막 추천</t>
        </is>
      </c>
      <c r="L2800" s="6">
        <f>HYPERLINK("https://fin.land.naver.com/articles/2654028101", "매물Link")</f>
        <v/>
      </c>
      <c r="M2800" s="6">
        <f>HYPERLINK("https://map.naver.com/p/search/전의면 금사리 73", "지도Link")</f>
        <v/>
      </c>
      <c r="N2800" s="6">
        <f>HYPERLINK("http://www.eum.go.kr/web/ar/lu/luLandDet.jsp?pnu=3611037034100730000&amp;isNoScr=script&amp;mode=search", "토지이음")</f>
        <v/>
      </c>
      <c r="O2800" s="3" t="inlineStr">
        <is>
          <t>스카이</t>
        </is>
      </c>
      <c r="P2800" s="4" t="n">
        <v>1</v>
      </c>
      <c r="Q2800" s="4" t="n">
        <v>1481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급경사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금사리 산26-4</t>
        </is>
      </c>
      <c r="B2801" s="3" t="inlineStr">
        <is>
          <t>생산관리지역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18000</v>
      </c>
      <c r="G2801" s="4" t="n">
        <v>1653</v>
      </c>
      <c r="H2801" s="4" t="n">
        <v>500</v>
      </c>
      <c r="I2801" s="5" t="n">
        <v>36</v>
      </c>
      <c r="J2801" s="5" t="n">
        <v>2.3</v>
      </c>
      <c r="K2801" s="3" t="inlineStr">
        <is>
          <t>이정도 입지를 갖춘 임야 보셨어요</t>
        </is>
      </c>
      <c r="L2801" s="6">
        <f>HYPERLINK("https://fin.land.naver.com/articles/2651940389", "매물Link")</f>
        <v/>
      </c>
      <c r="M2801" s="6">
        <f>HYPERLINK("https://map.naver.com/p/search/전의면 금사리 산26-4", "지도Link")</f>
        <v/>
      </c>
      <c r="N2801" s="6">
        <f>HYPERLINK("http://www.eum.go.kr/web/ar/lu/luLandDet.jsp?pnu=3611037034200260004&amp;isNoScr=script&amp;mode=search", "토지이음")</f>
        <v/>
      </c>
      <c r="O2801" s="3" t="inlineStr">
        <is>
          <t>용궁</t>
        </is>
      </c>
      <c r="P2801" s="4" t="n">
        <v>1</v>
      </c>
      <c r="Q2801" s="4" t="n">
        <v>1653</v>
      </c>
      <c r="R2801" s="3" t="inlineStr">
        <is>
          <t>농림지역</t>
        </is>
      </c>
      <c r="S2801" s="3" t="inlineStr">
        <is>
          <t>자연림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맹지</t>
        </is>
      </c>
    </row>
    <row r="2802">
      <c r="A2802" s="3" t="inlineStr">
        <is>
          <t>전의면 금사리 산45-1</t>
        </is>
      </c>
      <c r="B2802" s="3" t="inlineStr">
        <is>
          <t>농림지역</t>
        </is>
      </c>
      <c r="C2802" s="3" t="inlineStr">
        <is>
          <t>임야</t>
        </is>
      </c>
      <c r="D2802" s="3" t="inlineStr">
        <is>
          <t>임야</t>
        </is>
      </c>
      <c r="E2802" s="3" t="inlineStr">
        <is>
          <t>매매</t>
        </is>
      </c>
      <c r="F2802" s="4" t="n">
        <v>27000</v>
      </c>
      <c r="G2802" s="4" t="n">
        <v>12896</v>
      </c>
      <c r="H2802" s="4" t="n">
        <v>3901</v>
      </c>
      <c r="I2802" s="5" t="n">
        <v>6.9</v>
      </c>
      <c r="J2802" s="5" t="n">
        <v>1.1</v>
      </c>
      <c r="K2802" s="3" t="inlineStr">
        <is>
          <t>급매 저렴한토지 투자굿</t>
        </is>
      </c>
      <c r="L2802" s="6">
        <f>HYPERLINK("https://fin.land.naver.com/articles/2655540097", "매물Link")</f>
        <v/>
      </c>
      <c r="M2802" s="6">
        <f>HYPERLINK("https://map.naver.com/p/search/전의면 금사리 산45-1", "지도Link")</f>
        <v/>
      </c>
      <c r="N2802" s="6">
        <f>HYPERLINK("http://www.eum.go.kr/web/ar/lu/luLandDet.jsp?pnu=3611037034200450001&amp;isNoScr=script&amp;mode=search", "토지이음")</f>
        <v/>
      </c>
      <c r="O2802" s="3" t="inlineStr">
        <is>
          <t>새롬이지</t>
        </is>
      </c>
      <c r="P2802" s="4" t="n">
        <v>1</v>
      </c>
      <c r="Q2802" s="4" t="n">
        <v>1986</v>
      </c>
      <c r="R2802" s="3" t="inlineStr">
        <is>
          <t>지정되지않음</t>
        </is>
      </c>
      <c r="S2802" s="3" t="inlineStr">
        <is>
          <t>자연림</t>
        </is>
      </c>
      <c r="T2802" s="3" t="inlineStr">
        <is>
          <t>급경사</t>
        </is>
      </c>
      <c r="U2802" s="3" t="inlineStr">
        <is>
          <t>부정형</t>
        </is>
      </c>
      <c r="V2802" s="3" t="inlineStr">
        <is>
          <t>세로한면(불)</t>
        </is>
      </c>
    </row>
    <row r="2803">
      <c r="A2803" s="3" t="inlineStr">
        <is>
          <t>전의면 금사리 산67-1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149760</v>
      </c>
      <c r="G2803" s="4" t="n">
        <v>41256</v>
      </c>
      <c r="H2803" s="4" t="n">
        <v>12480</v>
      </c>
      <c r="I2803" s="5" t="n">
        <v>12</v>
      </c>
      <c r="J2803" s="5" t="n">
        <v>2.2</v>
      </c>
      <c r="K2803" s="3" t="inlineStr">
        <is>
          <t>급매, 국도와 근접하고 사로 연결, 계획관리 53퍼, 인근 미래산업단지</t>
        </is>
      </c>
      <c r="L2803" s="6">
        <f>HYPERLINK("https://fin.land.naver.com/articles/2654651638", "매물Link")</f>
        <v/>
      </c>
      <c r="M2803" s="6">
        <f>HYPERLINK("https://map.naver.com/p/search/전의면 금사리 산67-1", "지도Link")</f>
        <v/>
      </c>
      <c r="N2803" s="6">
        <f>HYPERLINK("http://www.eum.go.kr/web/ar/lu/luLandDet.jsp?pnu=3611037034200670001&amp;isNoScr=script&amp;mode=search", "토지이음")</f>
        <v/>
      </c>
      <c r="O2803" s="3" t="inlineStr">
        <is>
          <t>온뜰</t>
        </is>
      </c>
      <c r="P2803" s="4" t="n">
        <v>1</v>
      </c>
      <c r="Q2803" s="4" t="n">
        <v>41256</v>
      </c>
      <c r="R2803" s="3" t="inlineStr">
        <is>
          <t>농림지역</t>
        </is>
      </c>
      <c r="S2803" s="3" t="inlineStr">
        <is>
          <t>자연림</t>
        </is>
      </c>
      <c r="T2803" s="3" t="inlineStr">
        <is>
          <t>급경사</t>
        </is>
      </c>
      <c r="U2803" s="3" t="inlineStr">
        <is>
          <t>부정형</t>
        </is>
      </c>
      <c r="V2803" s="3" t="inlineStr">
        <is>
          <t>세로한면(불)</t>
        </is>
      </c>
    </row>
    <row r="2804">
      <c r="A2804" s="3" t="inlineStr">
        <is>
          <t>전의면 금사리 산69</t>
        </is>
      </c>
      <c r="B2804" s="3" t="inlineStr">
        <is>
          <t>농림지역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51300</v>
      </c>
      <c r="G2804" s="4" t="n">
        <v>18843</v>
      </c>
      <c r="H2804" s="4" t="n">
        <v>5700</v>
      </c>
      <c r="I2804" s="5" t="n">
        <v>9</v>
      </c>
      <c r="J2804" s="5" t="n">
        <v>1.5</v>
      </c>
      <c r="K2804" s="3" t="inlineStr">
        <is>
          <t>세종시 미래산업단지 인근 저렴한 급매 임야</t>
        </is>
      </c>
      <c r="L2804" s="6">
        <f>HYPERLINK("https://fin.land.naver.com/articles/2653973555", "매물Link")</f>
        <v/>
      </c>
      <c r="M2804" s="6">
        <f>HYPERLINK("https://map.naver.com/p/search/전의면 금사리 산69", "지도Link")</f>
        <v/>
      </c>
      <c r="N2804" s="6">
        <f>HYPERLINK("http://www.eum.go.kr/web/ar/lu/luLandDet.jsp?pnu=3611037034200690000&amp;isNoScr=script&amp;mode=search", "토지이음")</f>
        <v/>
      </c>
      <c r="O2804" s="3" t="inlineStr">
        <is>
          <t>청담무소</t>
        </is>
      </c>
      <c r="P2804" s="4" t="n">
        <v>1</v>
      </c>
      <c r="Q2804" s="4" t="n">
        <v>18843</v>
      </c>
      <c r="R2804" s="3" t="inlineStr">
        <is>
          <t>계획관리지역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금사리 산72-4</t>
        </is>
      </c>
      <c r="B2805" s="3" t="inlineStr">
        <is>
          <t>보전관리지역</t>
        </is>
      </c>
      <c r="C2805" s="3" t="inlineStr">
        <is>
          <t>임야</t>
        </is>
      </c>
      <c r="D2805" s="3" t="inlineStr">
        <is>
          <t>임야</t>
        </is>
      </c>
      <c r="E2805" s="3" t="inlineStr">
        <is>
          <t>매매</t>
        </is>
      </c>
      <c r="F2805" s="4" t="n">
        <v>99000</v>
      </c>
      <c r="G2805" s="4" t="n">
        <v>12881</v>
      </c>
      <c r="H2805" s="4" t="n">
        <v>3897</v>
      </c>
      <c r="I2805" s="5" t="n">
        <v>25.4</v>
      </c>
      <c r="J2805" s="5" t="n">
        <v>2.9</v>
      </c>
      <c r="K2805" s="3" t="inlineStr">
        <is>
          <t>급매, 세종미래산단과 레이캐슬CC 인근으로 향후 개발가능성 매우 높은지역</t>
        </is>
      </c>
      <c r="L2805" s="6">
        <f>HYPERLINK("https://fin.land.naver.com/articles/2654389216", "매물Link")</f>
        <v/>
      </c>
      <c r="M2805" s="6">
        <f>HYPERLINK("https://map.naver.com/p/search/전의면 금사리 산72-4", "지도Link")</f>
        <v/>
      </c>
      <c r="N2805" s="6">
        <f>HYPERLINK("http://www.eum.go.kr/web/ar/lu/luLandDet.jsp?pnu=3611037034200720004&amp;isNoScr=script&amp;mode=search", "토지이음")</f>
        <v/>
      </c>
      <c r="O2805" s="3" t="inlineStr">
        <is>
          <t>온뜰</t>
        </is>
      </c>
      <c r="P2805" s="4" t="n">
        <v>1</v>
      </c>
      <c r="Q2805" s="4" t="n">
        <v>12881</v>
      </c>
      <c r="R2805" s="3" t="inlineStr">
        <is>
          <t>지정되지않음</t>
        </is>
      </c>
      <c r="S2805" s="3" t="inlineStr">
        <is>
          <t>자연림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맹지</t>
        </is>
      </c>
    </row>
    <row r="2806">
      <c r="A2806" s="3" t="inlineStr">
        <is>
          <t>전의면 노곡리 315-2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25000</v>
      </c>
      <c r="G2806" s="4" t="n">
        <v>1653</v>
      </c>
      <c r="H2806" s="4" t="n">
        <v>500</v>
      </c>
      <c r="I2806" s="5" t="n">
        <v>50</v>
      </c>
      <c r="J2806" s="5" t="n">
        <v>8.199999999999999</v>
      </c>
      <c r="K2806" s="3" t="inlineStr">
        <is>
          <t>전의일반산단 인근의 조용한 계획관리 전</t>
        </is>
      </c>
      <c r="L2806" s="6">
        <f>HYPERLINK("https://fin.land.naver.com/articles/2652106544", "매물Link")</f>
        <v/>
      </c>
      <c r="M2806" s="6">
        <f>HYPERLINK("https://map.naver.com/p/search/전의면 노곡리 315-2", "지도Link")</f>
        <v/>
      </c>
      <c r="N2806" s="6">
        <f>HYPERLINK("http://www.eum.go.kr/web/ar/lu/luLandDet.jsp?pnu=3611037029103150002&amp;isNoScr=script&amp;mode=search", "토지이음")</f>
        <v/>
      </c>
      <c r="O2806" s="3" t="inlineStr">
        <is>
          <t>미스터홈즈강남지사</t>
        </is>
      </c>
      <c r="P2806" s="4" t="n">
        <v>1</v>
      </c>
      <c r="Q2806" s="4" t="n">
        <v>1653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사다리형</t>
        </is>
      </c>
      <c r="V2806" s="3" t="inlineStr">
        <is>
          <t>세로한면(가)</t>
        </is>
      </c>
    </row>
    <row r="2807">
      <c r="A2807" s="3" t="inlineStr">
        <is>
          <t>전의면 다방리 119-2</t>
        </is>
      </c>
      <c r="B2807" s="3" t="inlineStr">
        <is>
          <t>생산관리지역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132000</v>
      </c>
      <c r="G2807" s="4" t="n">
        <v>4370</v>
      </c>
      <c r="H2807" s="4" t="n">
        <v>1322</v>
      </c>
      <c r="I2807" s="5" t="n">
        <v>99.8</v>
      </c>
      <c r="J2807" s="5" t="n">
        <v>18.3</v>
      </c>
      <c r="K2807" s="3" t="inlineStr">
        <is>
          <t>2차선 도로에 접해있는 생산관리지역의 투자용 토지, 절충가능 합니다</t>
        </is>
      </c>
      <c r="L2807" s="6">
        <f>HYPERLINK("https://fin.land.naver.com/articles/2650950245", "매물Link")</f>
        <v/>
      </c>
      <c r="M2807" s="6">
        <f>HYPERLINK("https://map.naver.com/p/search/전의면 다방리 119-2", "지도Link")</f>
        <v/>
      </c>
      <c r="N2807" s="6">
        <f>HYPERLINK("http://www.eum.go.kr/web/ar/lu/luLandDet.jsp?pnu=3611037035101190002&amp;isNoScr=script&amp;mode=search", "토지이음")</f>
        <v/>
      </c>
      <c r="O2807" s="3" t="inlineStr">
        <is>
          <t>스마일세종</t>
        </is>
      </c>
      <c r="P2807" s="4" t="n">
        <v>1</v>
      </c>
      <c r="Q2807" s="4" t="n">
        <v>3452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전의면 다방리 141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4500</v>
      </c>
      <c r="G2808" s="4" t="n">
        <v>255</v>
      </c>
      <c r="H2808" s="4" t="n">
        <v>77</v>
      </c>
      <c r="I2808" s="5" t="n">
        <v>58.4</v>
      </c>
      <c r="J2808" s="5" t="n">
        <v>16.5</v>
      </c>
      <c r="K2808" s="3" t="inlineStr">
        <is>
          <t>도로접한 소규모 대지입니다</t>
        </is>
      </c>
      <c r="L2808" s="6">
        <f>HYPERLINK("https://fin.land.naver.com/articles/2656385410", "매물Link")</f>
        <v/>
      </c>
      <c r="M2808" s="6">
        <f>HYPERLINK("https://map.naver.com/p/search/전의면 다방리 141", "지도Link")</f>
        <v/>
      </c>
      <c r="N2808" s="6">
        <f>HYPERLINK("http://www.eum.go.kr/web/ar/lu/luLandDet.jsp?pnu=3611037035101410000&amp;isNoScr=script&amp;mode=search", "토지이음")</f>
        <v/>
      </c>
      <c r="O2808" s="3" t="inlineStr">
        <is>
          <t>성환1번지</t>
        </is>
      </c>
      <c r="P2808" s="4" t="n">
        <v>1</v>
      </c>
      <c r="Q2808" s="4" t="n">
        <v>255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다방리 161-1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17000</v>
      </c>
      <c r="G2809" s="4" t="n">
        <v>352</v>
      </c>
      <c r="H2809" s="4" t="n">
        <v>106</v>
      </c>
      <c r="I2809" s="5" t="n">
        <v>160.4</v>
      </c>
      <c r="J2809" s="5" t="n">
        <v>32.5</v>
      </c>
      <c r="K2809" s="3" t="inlineStr">
        <is>
          <t>L.D.  급매 계획관리지역 나대지 실거주나 투자용 추천 포장도로 인접</t>
        </is>
      </c>
      <c r="L2809" s="6">
        <f>HYPERLINK("https://fin.land.naver.com/articles/2654210158", "매물Link")</f>
        <v/>
      </c>
      <c r="M2809" s="6">
        <f>HYPERLINK("https://map.naver.com/p/search/전의면 다방리 161-1", "지도Link")</f>
        <v/>
      </c>
      <c r="N2809" s="6">
        <f>HYPERLINK("http://www.eum.go.kr/web/ar/lu/luLandDet.jsp?pnu=3611037035101610001&amp;isNoScr=script&amp;mode=search", "토지이음")</f>
        <v/>
      </c>
      <c r="O2809" s="3" t="inlineStr">
        <is>
          <t>리드</t>
        </is>
      </c>
      <c r="P2809" s="4" t="n">
        <v>1</v>
      </c>
      <c r="Q2809" s="4" t="n">
        <v>352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다방리 239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17000</v>
      </c>
      <c r="G2810" s="4" t="n">
        <v>1864</v>
      </c>
      <c r="H2810" s="4" t="n">
        <v>564</v>
      </c>
      <c r="I2810" s="5" t="n">
        <v>30.1</v>
      </c>
      <c r="J2810" s="5" t="n">
        <v>17.1</v>
      </c>
      <c r="K2810" s="3" t="inlineStr">
        <is>
          <t>급매,현재 밭으로 사용중이며,현황도로 ,가격 조율해 볼게요</t>
        </is>
      </c>
      <c r="L2810" s="6">
        <f>HYPERLINK("https://fin.land.naver.com/articles/2651664285", "매물Link")</f>
        <v/>
      </c>
      <c r="M2810" s="6">
        <f>HYPERLINK("https://map.naver.com/p/search/전의면 다방리 239", "지도Link")</f>
        <v/>
      </c>
      <c r="N2810" s="6">
        <f>HYPERLINK("http://www.eum.go.kr/web/ar/lu/luLandDet.jsp?pnu=3611037035102390000&amp;isNoScr=script&amp;mode=search", "토지이음")</f>
        <v/>
      </c>
      <c r="O2810" s="3" t="inlineStr">
        <is>
          <t>나릿재OK</t>
        </is>
      </c>
      <c r="P2810" s="4" t="n">
        <v>1</v>
      </c>
      <c r="Q2810" s="4" t="n">
        <v>1864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다방리 239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17000</v>
      </c>
      <c r="G2811" s="4" t="n">
        <v>1864</v>
      </c>
      <c r="H2811" s="4" t="n">
        <v>564</v>
      </c>
      <c r="I2811" s="5" t="n">
        <v>30.1</v>
      </c>
      <c r="J2811" s="5" t="n">
        <v>17.1</v>
      </c>
      <c r="K2811" s="3" t="inlineStr">
        <is>
          <t>투자가치 좋은 자경지, 생산관리 농지, 가축사육 가능</t>
        </is>
      </c>
      <c r="L2811" s="6">
        <f>HYPERLINK("https://fin.land.naver.com/articles/2655565007", "매물Link")</f>
        <v/>
      </c>
      <c r="M2811" s="6">
        <f>HYPERLINK("https://map.naver.com/p/search/전의면 다방리 239", "지도Link")</f>
        <v/>
      </c>
      <c r="N2811" s="6">
        <f>HYPERLINK("http://www.eum.go.kr/web/ar/lu/luLandDet.jsp?pnu=3611037035102390000&amp;isNoScr=script&amp;mode=search", "토지이음")</f>
        <v/>
      </c>
      <c r="O2811" s="3" t="inlineStr">
        <is>
          <t>OK세종</t>
        </is>
      </c>
      <c r="P2811" s="4" t="n">
        <v>4</v>
      </c>
      <c r="Q2811" s="4" t="n">
        <v>1864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다방리 274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70000</v>
      </c>
      <c r="G2812" s="4" t="n">
        <v>3089</v>
      </c>
      <c r="H2812" s="4" t="n">
        <v>934</v>
      </c>
      <c r="I2812" s="5" t="n">
        <v>74.90000000000001</v>
      </c>
      <c r="J2812" s="5" t="n">
        <v>14.9</v>
      </c>
      <c r="K2812" s="3" t="inlineStr">
        <is>
          <t>포장도로에 접한 생산관리지역, 성장관리계획구역의 농촌체류형 쉼터로 적합</t>
        </is>
      </c>
      <c r="L2812" s="6">
        <f>HYPERLINK("https://fin.land.naver.com/articles/2653247828", "매물Link")</f>
        <v/>
      </c>
      <c r="M2812" s="6">
        <f>HYPERLINK("https://map.naver.com/p/search/전의면 다방리 274", "지도Link")</f>
        <v/>
      </c>
      <c r="N2812" s="6">
        <f>HYPERLINK("http://www.eum.go.kr/web/ar/lu/luLandDet.jsp?pnu=3611037035102740000&amp;isNoScr=script&amp;mode=search",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3089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사다리형</t>
        </is>
      </c>
      <c r="V2812" s="3" t="inlineStr">
        <is>
          <t>세로한면(불)</t>
        </is>
      </c>
    </row>
    <row r="2813">
      <c r="A2813" s="3" t="inlineStr">
        <is>
          <t>전의면 다방리 300</t>
        </is>
      </c>
      <c r="B2813" s="3" t="inlineStr">
        <is>
          <t>농림지역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66000</v>
      </c>
      <c r="G2813" s="4" t="n">
        <v>6236</v>
      </c>
      <c r="H2813" s="4" t="n">
        <v>1886</v>
      </c>
      <c r="I2813" s="5" t="n">
        <v>35</v>
      </c>
      <c r="J2813" s="5" t="n">
        <v>12.6</v>
      </c>
      <c r="K2813" s="3" t="inlineStr">
        <is>
          <t>급매물로 6236.6㎡ 매매 및 3필지로 분할해서 매매도 가능합니다.</t>
        </is>
      </c>
      <c r="L2813" s="6">
        <f>HYPERLINK("https://fin.land.naver.com/articles/2656197544", "매물Link")</f>
        <v/>
      </c>
      <c r="M2813" s="6">
        <f>HYPERLINK("https://map.naver.com/p/search/전의면 다방리 300", "지도Link")</f>
        <v/>
      </c>
      <c r="N2813" s="6">
        <f>HYPERLINK("http://www.eum.go.kr/web/ar/lu/luLandDet.jsp?pnu=3611037035103000000&amp;isNoScr=script&amp;mode=search", "토지이음")</f>
        <v/>
      </c>
      <c r="O2813" s="3" t="inlineStr">
        <is>
          <t>가람</t>
        </is>
      </c>
      <c r="P2813" s="4" t="n">
        <v>2</v>
      </c>
      <c r="Q2813" s="4" t="n">
        <v>6236.6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다방리 330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56000</v>
      </c>
      <c r="G2814" s="4" t="n">
        <v>3719</v>
      </c>
      <c r="H2814" s="4" t="n">
        <v>1125</v>
      </c>
      <c r="I2814" s="5" t="n">
        <v>49.8</v>
      </c>
      <c r="J2814" s="5" t="n">
        <v>11.8</v>
      </c>
      <c r="K2814" s="3" t="inlineStr">
        <is>
          <t>관리지역토지</t>
        </is>
      </c>
      <c r="L2814" s="6">
        <f>HYPERLINK("https://fin.land.naver.com/articles/2655169454", "매물Link")</f>
        <v/>
      </c>
      <c r="M2814" s="6">
        <f>HYPERLINK("https://map.naver.com/p/search/전의면 다방리 330", "지도Link")</f>
        <v/>
      </c>
      <c r="N2814" s="6">
        <f>HYPERLINK("http://www.eum.go.kr/web/ar/lu/luLandDet.jsp?pnu=3611037035103300000&amp;isNoScr=script&amp;mode=search", "토지이음")</f>
        <v/>
      </c>
      <c r="O2814" s="3" t="inlineStr">
        <is>
          <t>세종대박</t>
        </is>
      </c>
      <c r="P2814" s="4" t="n">
        <v>1</v>
      </c>
      <c r="Q2814" s="4" t="n">
        <v>3719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다방리 367</t>
        </is>
      </c>
      <c r="B2815" s="3" t="inlineStr">
        <is>
          <t>계획관리지역</t>
        </is>
      </c>
      <c r="C2815" s="3" t="inlineStr">
        <is>
          <t>창고용지</t>
        </is>
      </c>
      <c r="D2815" s="3" t="inlineStr">
        <is>
          <t>대</t>
        </is>
      </c>
      <c r="E2815" s="3" t="inlineStr">
        <is>
          <t>매매</t>
        </is>
      </c>
      <c r="F2815" s="4" t="n">
        <v>97500</v>
      </c>
      <c r="G2815" s="4" t="n">
        <v>3584</v>
      </c>
      <c r="H2815" s="4" t="n">
        <v>1084</v>
      </c>
      <c r="I2815" s="5" t="n">
        <v>89.90000000000001</v>
      </c>
      <c r="J2815" s="5" t="n">
        <v>31.3</v>
      </c>
      <c r="K2815" s="3" t="inlineStr">
        <is>
          <t>리모델링한 단독주택, 창고3동. 냉동고, 저온고 있음.</t>
        </is>
      </c>
      <c r="L2815" s="6">
        <f>HYPERLINK("https://fin.land.naver.com/articles/2654233843", "매물Link")</f>
        <v/>
      </c>
      <c r="M2815" s="6">
        <f>HYPERLINK("https://map.naver.com/p/search/전의면 다방리 367", "지도Link")</f>
        <v/>
      </c>
      <c r="N2815" s="6">
        <f>HYPERLINK("http://www.eum.go.kr/web/ar/lu/luLandDet.jsp?pnu=3611037035103670000&amp;isNoScr=script&amp;mode=search", "토지이음")</f>
        <v/>
      </c>
      <c r="O2815" s="3" t="inlineStr">
        <is>
          <t>미스터홈즈강남지사</t>
        </is>
      </c>
      <c r="P2815" s="4" t="n">
        <v>1</v>
      </c>
      <c r="Q2815" s="4" t="n">
        <v>660</v>
      </c>
      <c r="R2815" s="3" t="inlineStr">
        <is>
          <t>지정되지않음</t>
        </is>
      </c>
      <c r="S2815" s="3" t="inlineStr">
        <is>
          <t>주거기타</t>
        </is>
      </c>
      <c r="T2815" s="3" t="inlineStr">
        <is>
          <t>완경사</t>
        </is>
      </c>
      <c r="U2815" s="3" t="inlineStr">
        <is>
          <t>자루형</t>
        </is>
      </c>
      <c r="V2815" s="3" t="inlineStr">
        <is>
          <t>세로한면(가)</t>
        </is>
      </c>
    </row>
    <row r="2816">
      <c r="A2816" s="3" t="inlineStr">
        <is>
          <t>전의면 다방리 490-1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35000</v>
      </c>
      <c r="G2816" s="4" t="n">
        <v>1652</v>
      </c>
      <c r="H2816" s="4" t="n">
        <v>500</v>
      </c>
      <c r="I2816" s="5" t="n">
        <v>70</v>
      </c>
      <c r="J2816" s="5" t="n">
        <v>18.2</v>
      </c>
      <c r="K2816" s="3" t="inlineStr">
        <is>
          <t>도로 접한 생산관리지역, 성장관리계획구역 토지</t>
        </is>
      </c>
      <c r="L2816" s="6">
        <f>HYPERLINK("https://fin.land.naver.com/articles/2651898491", "매물Link")</f>
        <v/>
      </c>
      <c r="M2816" s="6">
        <f>HYPERLINK("https://map.naver.com/p/search/전의면 다방리 490-1", "지도Link")</f>
        <v/>
      </c>
      <c r="N2816" s="6">
        <f>HYPERLINK("http://www.eum.go.kr/web/ar/lu/luLandDet.jsp?pnu=3611037035104900001&amp;isNoScr=script&amp;mode=search", "토지이음")</f>
        <v/>
      </c>
      <c r="O2816" s="3" t="inlineStr">
        <is>
          <t>새롬삼둥이</t>
        </is>
      </c>
      <c r="P2816" s="4" t="n">
        <v>1</v>
      </c>
      <c r="Q2816" s="4" t="n">
        <v>1652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다방리 산26-9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500</v>
      </c>
      <c r="G2817" s="4" t="n">
        <v>661</v>
      </c>
      <c r="H2817" s="4" t="n">
        <v>200</v>
      </c>
      <c r="I2817" s="5" t="n">
        <v>2.5</v>
      </c>
      <c r="J2817" s="5" t="n">
        <v>1</v>
      </c>
      <c r="K2817" s="3" t="inlineStr">
        <is>
          <t>급매 시세보다 훨씬 저렴하게 매매합니다</t>
        </is>
      </c>
      <c r="L2817" s="6">
        <f>HYPERLINK("https://fin.land.naver.com/articles/2654654720", "매물Link")</f>
        <v/>
      </c>
      <c r="M2817" s="6">
        <f>HYPERLINK("https://map.naver.com/p/search/전의면 다방리 산26-9", "지도Link")</f>
        <v/>
      </c>
      <c r="N2817" s="6">
        <f>HYPERLINK("http://www.eum.go.kr/web/ar/lu/luLandDet.jsp?pnu=3611037035200260009&amp;isNoScr=script&amp;mode=search", "토지이음")</f>
        <v/>
      </c>
      <c r="O2817" s="3" t="inlineStr">
        <is>
          <t>다해사무소</t>
        </is>
      </c>
      <c r="P2817" s="4" t="n">
        <v>1</v>
      </c>
      <c r="Q2817" s="4" t="n">
        <v>90232</v>
      </c>
      <c r="R2817" s="3" t="inlineStr">
        <is>
          <t>보전관리지역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달전리 152-14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39000</v>
      </c>
      <c r="G2818" s="4" t="n">
        <v>860</v>
      </c>
      <c r="H2818" s="4" t="n">
        <v>260</v>
      </c>
      <c r="I2818" s="5" t="n">
        <v>150</v>
      </c>
      <c r="J2818" s="5" t="n">
        <v>1.7</v>
      </c>
      <c r="K2818" s="3" t="inlineStr">
        <is>
          <t>nan</t>
        </is>
      </c>
      <c r="L2818" s="6">
        <f>HYPERLINK("https://fin.land.naver.com/articles/2656205265", "매물Link")</f>
        <v/>
      </c>
      <c r="M2818" s="6">
        <f>HYPERLINK("https://map.naver.com/p/search/전의면 달전리 152-14", "지도Link")</f>
        <v/>
      </c>
      <c r="N2818" s="6">
        <f>HYPERLINK("http://www.eum.go.kr/web/ar/lu/luLandDet.jsp?pnu=3611037033101520014&amp;isNoScr=script&amp;mode=search", "토지이음")</f>
        <v/>
      </c>
      <c r="O2818" s="3" t="inlineStr">
        <is>
          <t>나침반</t>
        </is>
      </c>
      <c r="P2818" s="4" t="n">
        <v>1</v>
      </c>
      <c r="Q2818" s="4" t="n">
        <v>824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급경사</t>
        </is>
      </c>
      <c r="U2818" s="3" t="inlineStr">
        <is>
          <t>사다리형</t>
        </is>
      </c>
      <c r="V2818" s="3" t="inlineStr">
        <is>
          <t>세로한면(불)</t>
        </is>
      </c>
    </row>
    <row r="2819">
      <c r="A2819" s="3" t="inlineStr">
        <is>
          <t>전의면 달전리 162-1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15000</v>
      </c>
      <c r="G2819" s="4" t="n">
        <v>1983</v>
      </c>
      <c r="H2819" s="4" t="n">
        <v>600</v>
      </c>
      <c r="I2819" s="5" t="n">
        <v>25</v>
      </c>
      <c r="J2819" s="5" t="n">
        <v>10.6</v>
      </c>
      <c r="K2819" s="3" t="inlineStr">
        <is>
          <t>평당25만원, 저렴하게 구입가능합니다.</t>
        </is>
      </c>
      <c r="L2819" s="6">
        <f>HYPERLINK("https://fin.land.naver.com/articles/2655095574", "매물Link")</f>
        <v/>
      </c>
      <c r="M2819" s="6">
        <f>HYPERLINK("https://map.naver.com/p/search/전의면 달전리 162-1", "지도Link")</f>
        <v/>
      </c>
      <c r="N2819" s="6">
        <f>HYPERLINK("http://www.eum.go.kr/web/ar/lu/luLandDet.jsp?pnu=3611037033101620001&amp;isNoScr=script&amp;mode=search", "토지이음")</f>
        <v/>
      </c>
      <c r="O2819" s="3" t="inlineStr">
        <is>
          <t>킹</t>
        </is>
      </c>
      <c r="P2819" s="4" t="n">
        <v>1</v>
      </c>
      <c r="Q2819" s="4" t="n">
        <v>1983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맹지</t>
        </is>
      </c>
    </row>
    <row r="2820">
      <c r="A2820" s="3" t="inlineStr">
        <is>
          <t>전의면 달전리 264-2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66000</v>
      </c>
      <c r="G2820" s="4" t="n">
        <v>992</v>
      </c>
      <c r="H2820" s="4" t="n">
        <v>300</v>
      </c>
      <c r="I2820" s="5" t="n">
        <v>220</v>
      </c>
      <c r="J2820" s="5" t="n">
        <v>20.8</v>
      </c>
      <c r="K2820" s="3" t="inlineStr">
        <is>
          <t>계획관리, 2차선접</t>
        </is>
      </c>
      <c r="L2820" s="6">
        <f>HYPERLINK("https://fin.land.naver.com/articles/2651522678", "매물Link")</f>
        <v/>
      </c>
      <c r="M2820" s="6">
        <f>HYPERLINK("https://map.naver.com/p/search/전의면 달전리 264-2", "지도Link")</f>
        <v/>
      </c>
      <c r="N2820" s="6">
        <f>HYPERLINK("http://www.eum.go.kr/web/ar/lu/luLandDet.jsp?pnu=3611037033102640002&amp;isNoScr=script&amp;mode=search", "토지이음")</f>
        <v/>
      </c>
      <c r="O2820" s="3" t="inlineStr">
        <is>
          <t>이기영</t>
        </is>
      </c>
      <c r="P2820" s="4" t="n">
        <v>1</v>
      </c>
      <c r="Q2820" s="4" t="n">
        <v>992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소로한면</t>
        </is>
      </c>
    </row>
    <row r="2821">
      <c r="A2821" s="3" t="inlineStr">
        <is>
          <t>전의면 달전리 361-3</t>
        </is>
      </c>
      <c r="B2821" s="3" t="inlineStr">
        <is>
          <t>보전관리지역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10000</v>
      </c>
      <c r="G2821" s="4" t="n">
        <v>469</v>
      </c>
      <c r="H2821" s="4" t="n">
        <v>142</v>
      </c>
      <c r="I2821" s="5" t="n">
        <v>70.40000000000001</v>
      </c>
      <c r="J2821" s="5" t="n">
        <v>12.4</v>
      </c>
      <c r="K2821" s="3" t="inlineStr">
        <is>
          <t>nan</t>
        </is>
      </c>
      <c r="L2821" s="6">
        <f>HYPERLINK("https://fin.land.naver.com/articles/2651680736", "매물Link")</f>
        <v/>
      </c>
      <c r="M2821" s="6">
        <f>HYPERLINK("https://map.naver.com/p/search/전의면 달전리 361-3", "지도Link")</f>
        <v/>
      </c>
      <c r="N2821" s="6">
        <f>HYPERLINK("http://www.eum.go.kr/web/ar/lu/luLandDet.jsp?pnu=3611037033103610003&amp;isNoScr=script&amp;mode=search", "토지이음")</f>
        <v/>
      </c>
      <c r="O2821" s="3" t="inlineStr">
        <is>
          <t>최프로</t>
        </is>
      </c>
      <c r="P2821" s="4" t="n">
        <v>1</v>
      </c>
      <c r="Q2821" s="4" t="n">
        <v>469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달전리 404-4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168000</v>
      </c>
      <c r="G2822" s="4" t="n">
        <v>3692</v>
      </c>
      <c r="H2822" s="4" t="n">
        <v>1117</v>
      </c>
      <c r="I2822" s="5" t="n">
        <v>150.4</v>
      </c>
      <c r="J2822" s="5" t="n">
        <v>14.3</v>
      </c>
      <c r="K2822" s="3" t="inlineStr">
        <is>
          <t>레이캐슬 인근 2차선 변 계획관리 토지, 근생, 공장 창고, 주택</t>
        </is>
      </c>
      <c r="L2822" s="6">
        <f>HYPERLINK("https://fin.land.naver.com/articles/2654246843", "매물Link")</f>
        <v/>
      </c>
      <c r="M2822" s="6">
        <f>HYPERLINK("https://map.naver.com/p/search/전의면 달전리 404-4", "지도Link")</f>
        <v/>
      </c>
      <c r="N2822" s="6">
        <f>HYPERLINK("http://www.eum.go.kr/web/ar/lu/luLandDet.jsp?pnu=3611037033104040004&amp;isNoScr=script&amp;mode=search", "토지이음")</f>
        <v/>
      </c>
      <c r="O2822" s="3" t="inlineStr">
        <is>
          <t>미스터홈즈강남지사</t>
        </is>
      </c>
      <c r="P2822" s="4" t="n">
        <v>1</v>
      </c>
      <c r="Q2822" s="4" t="n">
        <v>2315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달전리 406-1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181600</v>
      </c>
      <c r="G2823" s="4" t="n">
        <v>3752</v>
      </c>
      <c r="H2823" s="4" t="n">
        <v>1135</v>
      </c>
      <c r="I2823" s="5" t="n">
        <v>160</v>
      </c>
      <c r="J2823" s="5" t="n">
        <v>13.8</v>
      </c>
      <c r="K2823" s="3" t="inlineStr">
        <is>
          <t>세종시 전의면에 위치한 2차선 도로 접한 토지 매매</t>
        </is>
      </c>
      <c r="L2823" s="6">
        <f>HYPERLINK("https://fin.land.naver.com/articles/2653393004", "매물Link")</f>
        <v/>
      </c>
      <c r="M2823" s="6">
        <f>HYPERLINK("https://map.naver.com/p/search/전의면 달전리 406-1", "지도Link")</f>
        <v/>
      </c>
      <c r="N2823" s="6">
        <f>HYPERLINK("http://www.eum.go.kr/web/ar/lu/luLandDet.jsp?pnu=3611037033104060001&amp;isNoScr=script&amp;mode=search", "토지이음")</f>
        <v/>
      </c>
      <c r="O2823" s="3" t="inlineStr">
        <is>
          <t>대지</t>
        </is>
      </c>
      <c r="P2823" s="4" t="n">
        <v>1</v>
      </c>
      <c r="Q2823" s="4" t="n">
        <v>1000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소로한면</t>
        </is>
      </c>
    </row>
    <row r="2824">
      <c r="A2824" s="3" t="inlineStr">
        <is>
          <t>전의면 달전리 406-1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49000</v>
      </c>
      <c r="G2824" s="4" t="n">
        <v>1000</v>
      </c>
      <c r="H2824" s="4" t="n">
        <v>302</v>
      </c>
      <c r="I2824" s="5" t="n">
        <v>162.3</v>
      </c>
      <c r="J2824" s="5" t="n">
        <v>13.8</v>
      </c>
      <c r="K2824" s="3" t="inlineStr">
        <is>
          <t>nan</t>
        </is>
      </c>
      <c r="L2824" s="6">
        <f>HYPERLINK("https://fin.land.naver.com/articles/2656234434", "매물Link")</f>
        <v/>
      </c>
      <c r="M2824" s="6">
        <f>HYPERLINK("https://map.naver.com/p/search/전의면 달전리 406-1", "지도Link")</f>
        <v/>
      </c>
      <c r="N2824" s="6">
        <f>HYPERLINK("http://www.eum.go.kr/web/ar/lu/luLandDet.jsp?pnu=3611037033104060001&amp;isNoScr=script&amp;mode=search", "토지이음")</f>
        <v/>
      </c>
      <c r="O2824" s="3" t="inlineStr">
        <is>
          <t>그래그</t>
        </is>
      </c>
      <c r="P2824" s="4" t="n">
        <v>1</v>
      </c>
      <c r="Q2824" s="4" t="n">
        <v>1000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달전리 406-10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48500</v>
      </c>
      <c r="G2825" s="4" t="n">
        <v>1000</v>
      </c>
      <c r="H2825" s="4" t="n">
        <v>302</v>
      </c>
      <c r="I2825" s="5" t="n">
        <v>160.6</v>
      </c>
      <c r="J2825" s="5" t="n">
        <v>13.9</v>
      </c>
      <c r="K2825" s="3" t="inlineStr">
        <is>
          <t>전의면 달전리 2차선 접한 계획관리 토지, 근생시설 건축, 하천 옆</t>
        </is>
      </c>
      <c r="L2825" s="6">
        <f>HYPERLINK("https://fin.land.naver.com/articles/2654029601", "매물Link")</f>
        <v/>
      </c>
      <c r="M2825" s="6">
        <f>HYPERLINK("https://map.naver.com/p/search/전의면 달전리 406-10", "지도Link")</f>
        <v/>
      </c>
      <c r="N2825" s="6">
        <f>HYPERLINK("http://www.eum.go.kr/web/ar/lu/luLandDet.jsp?pnu=3611037033104060010&amp;isNoScr=script&amp;mode=search", "토지이음")</f>
        <v/>
      </c>
      <c r="O2825" s="3" t="inlineStr">
        <is>
          <t>스카이</t>
        </is>
      </c>
      <c r="P2825" s="4" t="n">
        <v>1</v>
      </c>
      <c r="Q2825" s="4" t="n">
        <v>1000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소로한면</t>
        </is>
      </c>
    </row>
    <row r="2826">
      <c r="A2826" s="3" t="inlineStr">
        <is>
          <t>전의면 달전리 409-3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95000</v>
      </c>
      <c r="G2826" s="4" t="n">
        <v>2859</v>
      </c>
      <c r="H2826" s="4" t="n">
        <v>865</v>
      </c>
      <c r="I2826" s="5" t="n">
        <v>109.8</v>
      </c>
      <c r="J2826" s="5" t="n">
        <v>20.2</v>
      </c>
      <c r="K2826" s="3" t="inlineStr">
        <is>
          <t>2차선 도로 인접한 계획관리 토지매매</t>
        </is>
      </c>
      <c r="L2826" s="6">
        <f>HYPERLINK("https://fin.land.naver.com/articles/2655177205", "매물Link")</f>
        <v/>
      </c>
      <c r="M2826" s="6">
        <f>HYPERLINK("https://map.naver.com/p/search/전의면 달전리 409-3", "지도Link")</f>
        <v/>
      </c>
      <c r="N2826" s="6">
        <f>HYPERLINK("http://www.eum.go.kr/web/ar/lu/luLandDet.jsp?pnu=3611037033104090003&amp;isNoScr=script&amp;mode=search", "토지이음")</f>
        <v/>
      </c>
      <c r="O2826" s="3" t="inlineStr">
        <is>
          <t>에이스</t>
        </is>
      </c>
      <c r="P2826" s="4" t="n">
        <v>1</v>
      </c>
      <c r="Q2826" s="4" t="n">
        <v>2859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달전리 411-10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전</t>
        </is>
      </c>
      <c r="E2827" s="3" t="inlineStr">
        <is>
          <t>매매</t>
        </is>
      </c>
      <c r="F2827" s="4" t="n">
        <v>22000</v>
      </c>
      <c r="G2827" s="4" t="n">
        <v>662</v>
      </c>
      <c r="H2827" s="4" t="n">
        <v>200</v>
      </c>
      <c r="I2827" s="5" t="n">
        <v>110</v>
      </c>
      <c r="J2827" s="5" t="n">
        <v>22.2</v>
      </c>
      <c r="K2827" s="3" t="inlineStr">
        <is>
          <t>전의면 달전리 2차선변 계획관리 토지, 초급매, 건축 및 투자용</t>
        </is>
      </c>
      <c r="L2827" s="6">
        <f>HYPERLINK("https://fin.land.naver.com/articles/2654028199", "매물Link")</f>
        <v/>
      </c>
      <c r="M2827" s="6">
        <f>HYPERLINK("https://map.naver.com/p/search/전의면 달전리 411-10", "지도Link")</f>
        <v/>
      </c>
      <c r="N2827" s="6">
        <f>HYPERLINK("http://www.eum.go.kr/web/ar/lu/luLandDet.jsp?pnu=3611037033104110010&amp;isNoScr=script&amp;mode=search", "토지이음")</f>
        <v/>
      </c>
      <c r="O2827" s="3" t="inlineStr">
        <is>
          <t>스카이</t>
        </is>
      </c>
      <c r="P2827" s="4" t="n">
        <v>2</v>
      </c>
      <c r="Q2827" s="4" t="n">
        <v>662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전의면 달전리 516-1</t>
        </is>
      </c>
      <c r="B2828" s="3" t="inlineStr">
        <is>
          <t>계획관리지역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14000</v>
      </c>
      <c r="G2828" s="4" t="n">
        <v>782</v>
      </c>
      <c r="H2828" s="4" t="n">
        <v>237</v>
      </c>
      <c r="I2828" s="5" t="n">
        <v>59.1</v>
      </c>
      <c r="J2828" s="5" t="n">
        <v>17.3</v>
      </c>
      <c r="K2828" s="3" t="inlineStr">
        <is>
          <t>텃밭 가꾸며 체류형쉼터나 농막 놓고 시냇물 흐르는 곳에서 쉬기 좋아요.</t>
        </is>
      </c>
      <c r="L2828" s="6">
        <f>HYPERLINK("https://fin.land.naver.com/articles/2651108070", "매물Link")</f>
        <v/>
      </c>
      <c r="M2828" s="6">
        <f>HYPERLINK("https://map.naver.com/p/search/전의면 달전리 516-1", "지도Link")</f>
        <v/>
      </c>
      <c r="N2828" s="6">
        <f>HYPERLINK("http://www.eum.go.kr/web/ar/lu/luLandDet.jsp?pnu=3611037033105160001&amp;isNoScr=script&amp;mode=search", "토지이음")</f>
        <v/>
      </c>
      <c r="O2828" s="3" t="inlineStr">
        <is>
          <t>효자</t>
        </is>
      </c>
      <c r="P2828" s="4" t="n">
        <v>1</v>
      </c>
      <c r="Q2828" s="4" t="n">
        <v>782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달전리 61</t>
        </is>
      </c>
      <c r="B2829" s="3" t="inlineStr">
        <is>
          <t>생산관리지역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52000</v>
      </c>
      <c r="G2829" s="4" t="n">
        <v>2860</v>
      </c>
      <c r="H2829" s="4" t="n">
        <v>865</v>
      </c>
      <c r="I2829" s="5" t="n">
        <v>60.1</v>
      </c>
      <c r="J2829" s="5" t="n">
        <v>13.7</v>
      </c>
      <c r="K2829" s="3" t="inlineStr">
        <is>
          <t>nan</t>
        </is>
      </c>
      <c r="L2829" s="6">
        <f>HYPERLINK("https://fin.land.naver.com/articles/2651598626", "매물Link")</f>
        <v/>
      </c>
      <c r="M2829" s="6">
        <f>HYPERLINK("https://map.naver.com/p/search/전의면 달전리 61", "지도Link")</f>
        <v/>
      </c>
      <c r="N2829" s="6">
        <f>HYPERLINK("http://www.eum.go.kr/web/ar/lu/luLandDet.jsp?pnu=3611037033100610000&amp;isNoScr=script&amp;mode=search", "토지이음")</f>
        <v/>
      </c>
      <c r="O2829" s="3" t="inlineStr">
        <is>
          <t>다정현대</t>
        </is>
      </c>
      <c r="P2829" s="4" t="n">
        <v>1</v>
      </c>
      <c r="Q2829" s="4" t="n">
        <v>516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달전리 75</t>
        </is>
      </c>
      <c r="B2830" s="3" t="inlineStr">
        <is>
          <t>생산관리지역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14535</v>
      </c>
      <c r="G2830" s="4" t="n">
        <v>1067</v>
      </c>
      <c r="H2830" s="4" t="n">
        <v>323</v>
      </c>
      <c r="I2830" s="5" t="n">
        <v>45</v>
      </c>
      <c r="J2830" s="5" t="n">
        <v>11.3</v>
      </c>
      <c r="K2830" s="3" t="inlineStr">
        <is>
          <t>체류형쉼터 가능한 농지. 평당45만원</t>
        </is>
      </c>
      <c r="L2830" s="6">
        <f>HYPERLINK("https://fin.land.naver.com/articles/2652114202", "매물Link")</f>
        <v/>
      </c>
      <c r="M2830" s="6">
        <f>HYPERLINK("https://map.naver.com/p/search/전의면 달전리 75", "지도Link")</f>
        <v/>
      </c>
      <c r="N2830" s="6">
        <f>HYPERLINK("http://www.eum.go.kr/web/ar/lu/luLandDet.jsp?pnu=3611037033100750000&amp;isNoScr=script&amp;mode=search",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1114</v>
      </c>
      <c r="R2830" s="3" t="inlineStr">
        <is>
          <t>지정되지않음</t>
        </is>
      </c>
      <c r="S2830" s="3" t="inlineStr">
        <is>
          <t>전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달전리 산105</t>
        </is>
      </c>
      <c r="B2831" s="3" t="inlineStr">
        <is>
          <t>농림지역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96000</v>
      </c>
      <c r="G2831" s="4" t="n">
        <v>50876</v>
      </c>
      <c r="H2831" s="4" t="n">
        <v>15390</v>
      </c>
      <c r="I2831" s="5" t="n">
        <v>6.2</v>
      </c>
      <c r="J2831" s="5" t="n">
        <v>0.9</v>
      </c>
      <c r="K2831" s="3" t="inlineStr">
        <is>
          <t>nan</t>
        </is>
      </c>
      <c r="L2831" s="6">
        <f>HYPERLINK("https://fin.land.naver.com/articles/2653785975", "매물Link")</f>
        <v/>
      </c>
      <c r="M2831" s="6">
        <f>HYPERLINK("https://map.naver.com/p/search/전의면 달전리 산105", "지도Link")</f>
        <v/>
      </c>
      <c r="N2831" s="6">
        <f>HYPERLINK("http://www.eum.go.kr/web/ar/lu/luLandDet.jsp?pnu=3611037033201050000&amp;isNoScr=script&amp;mode=search", "토지이음")</f>
        <v/>
      </c>
      <c r="O2831" s="3" t="inlineStr">
        <is>
          <t>바른</t>
        </is>
      </c>
      <c r="P2831" s="4" t="n">
        <v>1</v>
      </c>
      <c r="Q2831" s="4" t="n">
        <v>50876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고지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달전리 산105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96000</v>
      </c>
      <c r="G2832" s="4" t="n">
        <v>50876</v>
      </c>
      <c r="H2832" s="4" t="n">
        <v>15390</v>
      </c>
      <c r="I2832" s="5" t="n">
        <v>6.2</v>
      </c>
      <c r="J2832" s="5" t="n">
        <v>0.9</v>
      </c>
      <c r="K2832" s="3" t="inlineStr">
        <is>
          <t>nan</t>
        </is>
      </c>
      <c r="L2832" s="6">
        <f>HYPERLINK("https://fin.land.naver.com/articles/2651533289", "매물Link")</f>
        <v/>
      </c>
      <c r="M2832" s="6">
        <f>HYPERLINK("https://map.naver.com/p/search/전의면 달전리 산105", "지도Link")</f>
        <v/>
      </c>
      <c r="N2832" s="6">
        <f>HYPERLINK("http://www.eum.go.kr/web/ar/lu/luLandDet.jsp?pnu=3611037033201050000&amp;isNoScr=script&amp;mode=search", "토지이음")</f>
        <v/>
      </c>
      <c r="O2832" s="3" t="inlineStr">
        <is>
          <t>바른</t>
        </is>
      </c>
      <c r="P2832" s="4" t="n">
        <v>1</v>
      </c>
      <c r="Q2832" s="4" t="n">
        <v>50876</v>
      </c>
      <c r="R2832" s="3" t="inlineStr">
        <is>
          <t>지정되지않음</t>
        </is>
      </c>
      <c r="S2832" s="3" t="inlineStr">
        <is>
          <t>자연림</t>
        </is>
      </c>
      <c r="T2832" s="3" t="inlineStr">
        <is>
          <t>고지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산109-2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55300</v>
      </c>
      <c r="G2833" s="4" t="n">
        <v>91382</v>
      </c>
      <c r="H2833" s="4" t="n">
        <v>27643</v>
      </c>
      <c r="I2833" s="5" t="n">
        <v>2</v>
      </c>
      <c r="J2833" s="5" t="n">
        <v>0.9</v>
      </c>
      <c r="K2833" s="3" t="inlineStr">
        <is>
          <t>nan</t>
        </is>
      </c>
      <c r="L2833" s="6">
        <f>HYPERLINK("https://fin.land.naver.com/articles/2653083489", "매물Link")</f>
        <v/>
      </c>
      <c r="M2833" s="6">
        <f>HYPERLINK("https://map.naver.com/p/search/전의면 달전리 산109-2", "지도Link")</f>
        <v/>
      </c>
      <c r="N2833" s="6">
        <f>HYPERLINK("http://www.eum.go.kr/web/ar/lu/luLandDet.jsp?pnu=3611037033201090002&amp;isNoScr=script&amp;mode=search", "토지이음")</f>
        <v/>
      </c>
      <c r="O2833" s="3" t="inlineStr">
        <is>
          <t>돈방석</t>
        </is>
      </c>
      <c r="P2833" s="4" t="n">
        <v>1</v>
      </c>
      <c r="Q2833" s="4" t="n">
        <v>91382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고지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달전리 산26</t>
        </is>
      </c>
      <c r="B2834" s="3" t="inlineStr">
        <is>
          <t>보전관리지역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240000</v>
      </c>
      <c r="G2834" s="4" t="n">
        <v>237976</v>
      </c>
      <c r="H2834" s="4" t="n">
        <v>71988</v>
      </c>
      <c r="I2834" s="5" t="n">
        <v>3.3</v>
      </c>
      <c r="J2834" s="5" t="n">
        <v>2.3</v>
      </c>
      <c r="K2834" s="3" t="inlineStr">
        <is>
          <t>포장도로접, 입구 보전관리지역에 건축가능</t>
        </is>
      </c>
      <c r="L2834" s="6">
        <f>HYPERLINK("https://fin.land.naver.com/articles/2652931235", "매물Link")</f>
        <v/>
      </c>
      <c r="M2834" s="6">
        <f>HYPERLINK("https://map.naver.com/p/search/전의면 달전리 산26", "지도Link")</f>
        <v/>
      </c>
      <c r="N2834" s="6">
        <f>HYPERLINK("http://www.eum.go.kr/web/ar/lu/luLandDet.jsp?pnu=3611037033200260000&amp;isNoScr=script&amp;mode=search", "토지이음")</f>
        <v/>
      </c>
      <c r="O2834" s="3" t="inlineStr">
        <is>
          <t>으뜸</t>
        </is>
      </c>
      <c r="P2834" s="4" t="n">
        <v>1</v>
      </c>
      <c r="Q2834" s="4" t="n">
        <v>6145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달전리 산30</t>
        </is>
      </c>
      <c r="B2835" s="3" t="inlineStr">
        <is>
          <t>농림지역</t>
        </is>
      </c>
      <c r="C2835" s="3" t="inlineStr">
        <is>
          <t>임야</t>
        </is>
      </c>
      <c r="D2835" s="3" t="inlineStr">
        <is>
          <t>임야</t>
        </is>
      </c>
      <c r="E2835" s="3" t="inlineStr">
        <is>
          <t>매매</t>
        </is>
      </c>
      <c r="F2835" s="4" t="n">
        <v>50000</v>
      </c>
      <c r="G2835" s="4" t="n">
        <v>9620</v>
      </c>
      <c r="H2835" s="4" t="n">
        <v>2910</v>
      </c>
      <c r="I2835" s="5" t="n">
        <v>17.2</v>
      </c>
      <c r="J2835" s="5" t="n">
        <v>1</v>
      </c>
      <c r="K2835" s="3" t="inlineStr">
        <is>
          <t>임업용산지로 임업후계자, 묘지추천 가격조절가능</t>
        </is>
      </c>
      <c r="L2835" s="6">
        <f>HYPERLINK("https://fin.land.naver.com/articles/2653126475", "매물Link")</f>
        <v/>
      </c>
      <c r="M2835" s="6">
        <f>HYPERLINK("https://map.naver.com/p/search/전의면 달전리 산30", "지도Link")</f>
        <v/>
      </c>
      <c r="N2835" s="6">
        <f>HYPERLINK("http://www.eum.go.kr/web/ar/lu/luLandDet.jsp?pnu=3611037033200300000&amp;isNoScr=script&amp;mode=search", "토지이음")</f>
        <v/>
      </c>
      <c r="O2835" s="3" t="inlineStr">
        <is>
          <t>킹</t>
        </is>
      </c>
      <c r="P2835" s="4" t="n">
        <v>1</v>
      </c>
      <c r="Q2835" s="4" t="n">
        <v>9620</v>
      </c>
      <c r="R2835" s="3" t="inlineStr">
        <is>
          <t>보전관리지역</t>
        </is>
      </c>
      <c r="S2835" s="3" t="inlineStr">
        <is>
          <t>자연림</t>
        </is>
      </c>
      <c r="T2835" s="3" t="inlineStr">
        <is>
          <t>급경사</t>
        </is>
      </c>
      <c r="U2835" s="3" t="inlineStr">
        <is>
          <t>부정형</t>
        </is>
      </c>
      <c r="V2835" s="3" t="inlineStr">
        <is>
          <t>맹지</t>
        </is>
      </c>
    </row>
    <row r="2836">
      <c r="A2836" s="3" t="inlineStr">
        <is>
          <t>전의면 동교리 124</t>
        </is>
      </c>
      <c r="B2836" s="3" t="inlineStr">
        <is>
          <t>자연녹지지역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108500</v>
      </c>
      <c r="G2836" s="4" t="n">
        <v>3077</v>
      </c>
      <c r="H2836" s="4" t="n">
        <v>931</v>
      </c>
      <c r="I2836" s="5" t="n">
        <v>116.5</v>
      </c>
      <c r="J2836" s="5" t="n">
        <v>56</v>
      </c>
      <c r="K2836" s="3" t="inlineStr">
        <is>
          <t>토지 매매 동교리 전의산단 배후지역 개발호재 많은곳</t>
        </is>
      </c>
      <c r="L2836" s="6">
        <f>HYPERLINK("https://fin.land.naver.com/articles/2652406475", "매물Link")</f>
        <v/>
      </c>
      <c r="M2836" s="6">
        <f>HYPERLINK("https://map.naver.com/p/search/전의면 동교리 124", "지도Link")</f>
        <v/>
      </c>
      <c r="N2836" s="6">
        <f>HYPERLINK("http://www.eum.go.kr/web/ar/lu/luLandDet.jsp?pnu=3611037022101240000&amp;isNoScr=script&amp;mode=search", "토지이음")</f>
        <v/>
      </c>
      <c r="O2836" s="3" t="inlineStr">
        <is>
          <t>THE행복</t>
        </is>
      </c>
      <c r="P2836" s="4" t="n">
        <v>1</v>
      </c>
      <c r="Q2836" s="4" t="n">
        <v>1440</v>
      </c>
      <c r="R2836" s="3" t="inlineStr">
        <is>
          <t>지정되지않음</t>
        </is>
      </c>
      <c r="S2836" s="3" t="inlineStr">
        <is>
          <t>답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동교리 124</t>
        </is>
      </c>
      <c r="B2837" s="3" t="inlineStr">
        <is>
          <t>자연녹지지역</t>
        </is>
      </c>
      <c r="C2837" s="3" t="inlineStr">
        <is>
          <t>답</t>
        </is>
      </c>
      <c r="D2837" s="3" t="inlineStr">
        <is>
          <t>대</t>
        </is>
      </c>
      <c r="E2837" s="3" t="inlineStr">
        <is>
          <t>매매</t>
        </is>
      </c>
      <c r="F2837" s="4" t="n">
        <v>108500</v>
      </c>
      <c r="G2837" s="4" t="n">
        <v>3261</v>
      </c>
      <c r="H2837" s="4" t="n">
        <v>986</v>
      </c>
      <c r="I2837" s="5" t="n">
        <v>110</v>
      </c>
      <c r="J2837" s="5" t="n">
        <v>56</v>
      </c>
      <c r="K2837" s="3" t="inlineStr">
        <is>
          <t>전의면 동교리 자연녹지 토지, 전의역 및 면소재지 인근</t>
        </is>
      </c>
      <c r="L2837" s="6">
        <f>HYPERLINK("https://fin.land.naver.com/articles/2654022408", "매물Link")</f>
        <v/>
      </c>
      <c r="M2837" s="6">
        <f>HYPERLINK("https://map.naver.com/p/search/전의면 동교리 124", "지도Link")</f>
        <v/>
      </c>
      <c r="N2837" s="6">
        <f>HYPERLINK("http://www.eum.go.kr/web/ar/lu/luLandDet.jsp?pnu=3611037022101240000&amp;isNoScr=script&amp;mode=search", "토지이음")</f>
        <v/>
      </c>
      <c r="O2837" s="3" t="inlineStr">
        <is>
          <t>스카이</t>
        </is>
      </c>
      <c r="P2837" s="4" t="n">
        <v>1</v>
      </c>
      <c r="Q2837" s="4" t="n">
        <v>1440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동교리 209-8</t>
        </is>
      </c>
      <c r="B2838" s="3" t="inlineStr">
        <is>
          <t>제1종일반주거지역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154800</v>
      </c>
      <c r="G2838" s="4" t="n">
        <v>2327</v>
      </c>
      <c r="H2838" s="4" t="n">
        <v>704</v>
      </c>
      <c r="I2838" s="5" t="n">
        <v>219.9</v>
      </c>
      <c r="J2838" s="5" t="n">
        <v>85</v>
      </c>
      <c r="K2838" s="3" t="inlineStr">
        <is>
          <t>전의 1,2 산업단지, 스마트그린일반산압단지 근거리에 위치</t>
        </is>
      </c>
      <c r="L2838" s="6">
        <f>HYPERLINK("https://fin.land.naver.com/articles/2654646682", "매물Link")</f>
        <v/>
      </c>
      <c r="M2838" s="6">
        <f>HYPERLINK("https://map.naver.com/p/search/전의면 동교리 209-8", "지도Link")</f>
        <v/>
      </c>
      <c r="N2838" s="6">
        <f>HYPERLINK("http://www.eum.go.kr/web/ar/lu/luLandDet.jsp?pnu=3611037022102090008&amp;isNoScr=script&amp;mode=search", "토지이음")</f>
        <v/>
      </c>
      <c r="O2838" s="3" t="inlineStr">
        <is>
          <t>신태양</t>
        </is>
      </c>
      <c r="P2838" s="4" t="n">
        <v>1</v>
      </c>
      <c r="Q2838" s="4" t="n">
        <v>330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동교리 213-8</t>
        </is>
      </c>
      <c r="B2839" s="3" t="inlineStr">
        <is>
          <t>제1종일반주거지역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189000</v>
      </c>
      <c r="G2839" s="4" t="n">
        <v>1643</v>
      </c>
      <c r="H2839" s="4" t="n">
        <v>497</v>
      </c>
      <c r="I2839" s="5" t="n">
        <v>380.3</v>
      </c>
      <c r="J2839" s="5" t="n">
        <v>57.8</v>
      </c>
      <c r="K2839" s="3" t="inlineStr">
        <is>
          <t>nan</t>
        </is>
      </c>
      <c r="L2839" s="6">
        <f>HYPERLINK("https://fin.land.naver.com/articles/2656204785", "매물Link")</f>
        <v/>
      </c>
      <c r="M2839" s="6">
        <f>HYPERLINK("https://map.naver.com/p/search/전의면 동교리 213-8", "지도Link")</f>
        <v/>
      </c>
      <c r="N2839" s="6">
        <f>HYPERLINK("http://www.eum.go.kr/web/ar/lu/luLandDet.jsp?pnu=3611037022102130008&amp;isNoScr=script&amp;mode=search", "토지이음")</f>
        <v/>
      </c>
      <c r="O2839" s="3" t="inlineStr">
        <is>
          <t>나침반</t>
        </is>
      </c>
      <c r="P2839" s="4" t="n">
        <v>1</v>
      </c>
      <c r="Q2839" s="4" t="n">
        <v>848.2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동교리 221-19</t>
        </is>
      </c>
      <c r="B2840" s="3" t="inlineStr">
        <is>
          <t>자연녹지지역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28500</v>
      </c>
      <c r="G2840" s="4" t="n">
        <v>317</v>
      </c>
      <c r="H2840" s="4" t="n">
        <v>96</v>
      </c>
      <c r="I2840" s="5" t="n">
        <v>296.9</v>
      </c>
      <c r="J2840" s="5" t="n">
        <v>77.59999999999999</v>
      </c>
      <c r="K2840" s="3" t="inlineStr">
        <is>
          <t>전의역 도보 10분, 주변 산단 접근성 좋은 토지. 예쁜 주택지</t>
        </is>
      </c>
      <c r="L2840" s="6">
        <f>HYPERLINK("https://fin.land.naver.com/articles/2651150452", "매물Link")</f>
        <v/>
      </c>
      <c r="M2840" s="6">
        <f>HYPERLINK("https://map.naver.com/p/search/전의면 동교리 221-19", "지도Link")</f>
        <v/>
      </c>
      <c r="N2840" s="6">
        <f>HYPERLINK("http://www.eum.go.kr/web/ar/lu/luLandDet.jsp?pnu=3611037022102210019&amp;isNoScr=script&amp;mode=search", "토지이음")</f>
        <v/>
      </c>
      <c r="O2840" s="3" t="inlineStr">
        <is>
          <t>미스터홈즈강남지사</t>
        </is>
      </c>
      <c r="P2840" s="4" t="n">
        <v>1</v>
      </c>
      <c r="Q2840" s="4" t="n">
        <v>271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전의면 동교리 224</t>
        </is>
      </c>
      <c r="B2841" s="3" t="inlineStr">
        <is>
          <t>자연녹지지역</t>
        </is>
      </c>
      <c r="C2841" s="3" t="inlineStr">
        <is>
          <t>전</t>
        </is>
      </c>
      <c r="D2841" s="3" t="inlineStr">
        <is>
          <t>전</t>
        </is>
      </c>
      <c r="E2841" s="3" t="inlineStr">
        <is>
          <t>매매</t>
        </is>
      </c>
      <c r="F2841" s="4" t="n">
        <v>42500</v>
      </c>
      <c r="G2841" s="4" t="n">
        <v>519</v>
      </c>
      <c r="H2841" s="4" t="n">
        <v>157</v>
      </c>
      <c r="I2841" s="5" t="n">
        <v>270.7</v>
      </c>
      <c r="J2841" s="5" t="n">
        <v>56.6</v>
      </c>
      <c r="K2841" s="3" t="inlineStr">
        <is>
          <t>급매 2차선변 근생허가득</t>
        </is>
      </c>
      <c r="L2841" s="6">
        <f>HYPERLINK("https://fin.land.naver.com/articles/2656223671", "매물Link")</f>
        <v/>
      </c>
      <c r="M2841" s="6">
        <f>HYPERLINK("https://map.naver.com/p/search/전의면 동교리 224", "지도Link")</f>
        <v/>
      </c>
      <c r="N2841" s="6">
        <f>HYPERLINK("http://www.eum.go.kr/web/ar/lu/luLandDet.jsp?pnu=3611037022102240000&amp;isNoScr=script&amp;mode=search", "토지이음")</f>
        <v/>
      </c>
      <c r="O2841" s="3" t="inlineStr">
        <is>
          <t>북세종</t>
        </is>
      </c>
      <c r="P2841" s="4" t="n">
        <v>1</v>
      </c>
      <c r="Q2841" s="4" t="n">
        <v>519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중로한면</t>
        </is>
      </c>
    </row>
    <row r="2842">
      <c r="A2842" s="3" t="inlineStr">
        <is>
          <t>전의면 동교리 24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249000</v>
      </c>
      <c r="G2842" s="4" t="n">
        <v>3229</v>
      </c>
      <c r="H2842" s="4" t="n">
        <v>977</v>
      </c>
      <c r="I2842" s="5" t="n">
        <v>254.9</v>
      </c>
      <c r="J2842" s="5" t="n">
        <v>39.9</v>
      </c>
      <c r="K2842" s="3" t="inlineStr">
        <is>
          <t>nan</t>
        </is>
      </c>
      <c r="L2842" s="6">
        <f>HYPERLINK("https://fin.land.naver.com/articles/2655984099", "매물Link")</f>
        <v/>
      </c>
      <c r="M2842" s="6">
        <f>HYPERLINK("https://map.naver.com/p/search/전의면 동교리 24", "지도Link")</f>
        <v/>
      </c>
      <c r="N2842" s="6">
        <f>HYPERLINK("http://www.eum.go.kr/web/ar/lu/luLandDet.jsp?pnu=3611037022100240000&amp;isNoScr=script&amp;mode=search", "토지이음")</f>
        <v/>
      </c>
      <c r="O2842" s="3" t="inlineStr">
        <is>
          <t>성훈</t>
        </is>
      </c>
      <c r="P2842" s="4" t="n">
        <v>1</v>
      </c>
      <c r="Q2842" s="4" t="n">
        <v>2509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세로장방</t>
        </is>
      </c>
      <c r="V2842" s="3" t="inlineStr">
        <is>
          <t>세로한면(불)</t>
        </is>
      </c>
    </row>
    <row r="2843">
      <c r="A2843" s="3" t="inlineStr">
        <is>
          <t>전의면 동교리 24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249250</v>
      </c>
      <c r="G2843" s="4" t="n">
        <v>3229</v>
      </c>
      <c r="H2843" s="4" t="n">
        <v>977</v>
      </c>
      <c r="I2843" s="5" t="n">
        <v>255.1</v>
      </c>
      <c r="J2843" s="5" t="n">
        <v>39.9</v>
      </c>
      <c r="K2843" s="3" t="inlineStr">
        <is>
          <t>nan</t>
        </is>
      </c>
      <c r="L2843" s="6">
        <f>HYPERLINK("https://fin.land.naver.com/articles/2650867906", "매물Link")</f>
        <v/>
      </c>
      <c r="M2843" s="6">
        <f>HYPERLINK("https://map.naver.com/p/search/전의면 동교리 24", "지도Link")</f>
        <v/>
      </c>
      <c r="N2843" s="6">
        <f>HYPERLINK("http://www.eum.go.kr/web/ar/lu/luLandDet.jsp?pnu=3611037022100240000&amp;isNoScr=script&amp;mode=search", "토지이음")</f>
        <v/>
      </c>
      <c r="O2843" s="3" t="inlineStr">
        <is>
          <t>신하나로</t>
        </is>
      </c>
      <c r="P2843" s="4" t="n">
        <v>1</v>
      </c>
      <c r="Q2843" s="4" t="n">
        <v>2509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세로장방</t>
        </is>
      </c>
      <c r="V2843" s="3" t="inlineStr">
        <is>
          <t>세로한면(불)</t>
        </is>
      </c>
    </row>
    <row r="2844">
      <c r="A2844" s="3" t="inlineStr">
        <is>
          <t>전의면 동교리 24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249000</v>
      </c>
      <c r="G2844" s="4" t="n">
        <v>3229</v>
      </c>
      <c r="H2844" s="4" t="n">
        <v>977</v>
      </c>
      <c r="I2844" s="5" t="n">
        <v>254.9</v>
      </c>
      <c r="J2844" s="5" t="n">
        <v>39.9</v>
      </c>
      <c r="K2844" s="3" t="inlineStr">
        <is>
          <t>2차선 도로에 접한 계획관리 토지</t>
        </is>
      </c>
      <c r="L2844" s="6">
        <f>HYPERLINK("https://fin.land.naver.com/articles/2650856637", "매물Link")</f>
        <v/>
      </c>
      <c r="M2844" s="6">
        <f>HYPERLINK("https://map.naver.com/p/search/전의면 동교리 24", "지도Link")</f>
        <v/>
      </c>
      <c r="N2844" s="6">
        <f>HYPERLINK("http://www.eum.go.kr/web/ar/lu/luLandDet.jsp?pnu=3611037022100240000&amp;isNoScr=script&amp;mode=search", "토지이음")</f>
        <v/>
      </c>
      <c r="O2844" s="3" t="inlineStr">
        <is>
          <t>세종대박</t>
        </is>
      </c>
      <c r="P2844" s="4" t="n">
        <v>1</v>
      </c>
      <c r="Q2844" s="4" t="n">
        <v>2509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세로한면(불)</t>
        </is>
      </c>
    </row>
    <row r="2845">
      <c r="A2845" s="3" t="inlineStr">
        <is>
          <t>전의면 동교리 51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67200</v>
      </c>
      <c r="G2845" s="4" t="n">
        <v>1481</v>
      </c>
      <c r="H2845" s="4" t="n">
        <v>448</v>
      </c>
      <c r="I2845" s="5" t="n">
        <v>150</v>
      </c>
      <c r="J2845" s="5" t="n">
        <v>22.9</v>
      </c>
      <c r="K2845" s="3" t="inlineStr">
        <is>
          <t>계획관리 토지매매</t>
        </is>
      </c>
      <c r="L2845" s="6">
        <f>HYPERLINK("https://fin.land.naver.com/articles/2655085854", "매물Link")</f>
        <v/>
      </c>
      <c r="M2845" s="6">
        <f>HYPERLINK("https://map.naver.com/p/search/전의면 동교리 51", "지도Link")</f>
        <v/>
      </c>
      <c r="N2845" s="6">
        <f>HYPERLINK("http://www.eum.go.kr/web/ar/lu/luLandDet.jsp?pnu=3611037022100510000&amp;isNoScr=script&amp;mode=search", "토지이음")</f>
        <v/>
      </c>
      <c r="O2845" s="3" t="inlineStr">
        <is>
          <t>세종대박</t>
        </is>
      </c>
      <c r="P2845" s="4" t="n">
        <v>2</v>
      </c>
      <c r="Q2845" s="4" t="n">
        <v>1481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급경사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동교리 60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28100</v>
      </c>
      <c r="G2846" s="4" t="n">
        <v>929</v>
      </c>
      <c r="H2846" s="4" t="n">
        <v>281</v>
      </c>
      <c r="I2846" s="5" t="n">
        <v>100</v>
      </c>
      <c r="J2846" s="5" t="n">
        <v>61.2</v>
      </c>
      <c r="K2846" s="3" t="inlineStr">
        <is>
          <t>급매. 전의면 동교리 주택</t>
        </is>
      </c>
      <c r="L2846" s="6">
        <f>HYPERLINK("https://fin.land.naver.com/articles/2654387610", "매물Link")</f>
        <v/>
      </c>
      <c r="M2846" s="6">
        <f>HYPERLINK("https://map.naver.com/p/search/전의면 동교리 60", "지도Link")</f>
        <v/>
      </c>
      <c r="N2846" s="6">
        <f>HYPERLINK("http://www.eum.go.kr/web/ar/lu/luLandDet.jsp?pnu=3611037022100600000&amp;isNoScr=script&amp;mode=search", "토지이음")</f>
        <v/>
      </c>
      <c r="O2846" s="3" t="inlineStr">
        <is>
          <t>강아지풀</t>
        </is>
      </c>
      <c r="P2846" s="4" t="n">
        <v>1</v>
      </c>
      <c r="Q2846" s="4" t="n">
        <v>476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세로한면(가)</t>
        </is>
      </c>
    </row>
    <row r="2847">
      <c r="A2847" s="3" t="inlineStr">
        <is>
          <t>전의면 동교리 64-12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62000</v>
      </c>
      <c r="G2847" s="4" t="n">
        <v>1371</v>
      </c>
      <c r="H2847" s="4" t="n">
        <v>415</v>
      </c>
      <c r="I2847" s="5" t="n">
        <v>149.4</v>
      </c>
      <c r="J2847" s="5" t="n">
        <v>27.5</v>
      </c>
      <c r="K2847" s="3" t="inlineStr">
        <is>
          <t>전의면 동교리 교차로 옆 계획관리 토지, 근생 및 창고 건축, 이동편리</t>
        </is>
      </c>
      <c r="L2847" s="6">
        <f>HYPERLINK("https://fin.land.naver.com/articles/2654029369", "매물Link")</f>
        <v/>
      </c>
      <c r="M2847" s="6">
        <f>HYPERLINK("https://map.naver.com/p/search/전의면 동교리 64-12", "지도Link")</f>
        <v/>
      </c>
      <c r="N2847" s="6">
        <f>HYPERLINK("http://www.eum.go.kr/web/ar/lu/luLandDet.jsp?pnu=3611037022100640012&amp;isNoScr=script&amp;mode=search", "토지이음")</f>
        <v/>
      </c>
      <c r="O2847" s="3" t="inlineStr">
        <is>
          <t>스카이</t>
        </is>
      </c>
      <c r="P2847" s="4" t="n">
        <v>1</v>
      </c>
      <c r="Q2847" s="4" t="n">
        <v>1371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동교리 66-11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78500</v>
      </c>
      <c r="G2848" s="4" t="n">
        <v>2296</v>
      </c>
      <c r="H2848" s="4" t="n">
        <v>695</v>
      </c>
      <c r="I2848" s="5" t="n">
        <v>112.9</v>
      </c>
      <c r="J2848" s="5" t="n">
        <v>23.7</v>
      </c>
      <c r="K2848" s="3" t="inlineStr">
        <is>
          <t>전의면 동교리 도로접 계획관리 토지매매</t>
        </is>
      </c>
      <c r="L2848" s="6">
        <f>HYPERLINK("https://fin.land.naver.com/articles/2653300909", "매물Link")</f>
        <v/>
      </c>
      <c r="M2848" s="6">
        <f>HYPERLINK("https://map.naver.com/p/search/전의면 동교리 66-11", "지도Link")</f>
        <v/>
      </c>
      <c r="N2848" s="6">
        <f>HYPERLINK("http://www.eum.go.kr/web/ar/lu/luLandDet.jsp?pnu=3611037022100660011&amp;isNoScr=script&amp;mode=search", "토지이음")</f>
        <v/>
      </c>
      <c r="O2848" s="3" t="inlineStr">
        <is>
          <t>재화</t>
        </is>
      </c>
      <c r="P2848" s="4" t="n">
        <v>1</v>
      </c>
      <c r="Q2848" s="4" t="n">
        <v>250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동교리 77-8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124000</v>
      </c>
      <c r="G2849" s="4" t="n">
        <v>2059</v>
      </c>
      <c r="H2849" s="4" t="n">
        <v>623</v>
      </c>
      <c r="I2849" s="5" t="n">
        <v>199</v>
      </c>
      <c r="J2849" s="5" t="n">
        <v>25</v>
      </c>
      <c r="K2849" s="3" t="inlineStr">
        <is>
          <t>전의 외곽도로 부근. 전의일반산단,스마트산단 인근으로 튜자 유망.</t>
        </is>
      </c>
      <c r="L2849" s="6">
        <f>HYPERLINK("https://fin.land.naver.com/articles/2656194595", "매물Link")</f>
        <v/>
      </c>
      <c r="M2849" s="6">
        <f>HYPERLINK("https://map.naver.com/p/search/전의면 동교리 77-8", "지도Link")</f>
        <v/>
      </c>
      <c r="N2849" s="6">
        <f>HYPERLINK("http://www.eum.go.kr/web/ar/lu/luLandDet.jsp?pnu=3611037022100770008&amp;isNoScr=script&amp;mode=search", "토지이음")</f>
        <v/>
      </c>
      <c r="O2849" s="3" t="inlineStr">
        <is>
          <t>세종소담114</t>
        </is>
      </c>
      <c r="P2849" s="4" t="n">
        <v>1</v>
      </c>
      <c r="Q2849" s="4" t="n">
        <v>2059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77-8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100000</v>
      </c>
      <c r="G2850" s="4" t="n">
        <v>2049</v>
      </c>
      <c r="H2850" s="4" t="n">
        <v>620</v>
      </c>
      <c r="I2850" s="5" t="n">
        <v>161.3</v>
      </c>
      <c r="J2850" s="5" t="n">
        <v>25</v>
      </c>
      <c r="K2850" s="3" t="inlineStr">
        <is>
          <t>급매,투자추천</t>
        </is>
      </c>
      <c r="L2850" s="6">
        <f>HYPERLINK("https://fin.land.naver.com/articles/2655911313", "매물Link")</f>
        <v/>
      </c>
      <c r="M2850" s="6">
        <f>HYPERLINK("https://map.naver.com/p/search/전의면 동교리 77-8", "지도Link")</f>
        <v/>
      </c>
      <c r="N2850" s="6">
        <f>HYPERLINK("http://www.eum.go.kr/web/ar/lu/luLandDet.jsp?pnu=3611037022100770008&amp;isNoScr=script&amp;mode=search", "토지이음")</f>
        <v/>
      </c>
      <c r="O2850" s="3" t="inlineStr">
        <is>
          <t>다산</t>
        </is>
      </c>
      <c r="P2850" s="4" t="n">
        <v>2</v>
      </c>
      <c r="Q2850" s="4" t="n">
        <v>2059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서정리 127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50000</v>
      </c>
      <c r="G2851" s="4" t="n">
        <v>2192</v>
      </c>
      <c r="H2851" s="4" t="n">
        <v>663</v>
      </c>
      <c r="I2851" s="5" t="n">
        <v>75.40000000000001</v>
      </c>
      <c r="J2851" s="5" t="n">
        <v>37.3</v>
      </c>
      <c r="K2851" s="3" t="inlineStr">
        <is>
          <t>전의면 서정리 계획관리 도로접 토지매매</t>
        </is>
      </c>
      <c r="L2851" s="6">
        <f>HYPERLINK("https://fin.land.naver.com/articles/2653298949", "매물Link")</f>
        <v/>
      </c>
      <c r="M2851" s="6">
        <f>HYPERLINK("https://map.naver.com/p/search/전의면 서정리 127", "지도Link")</f>
        <v/>
      </c>
      <c r="N2851" s="6">
        <f>HYPERLINK("http://www.eum.go.kr/web/ar/lu/luLandDet.jsp?pnu=3611037023101270000&amp;isNoScr=script&amp;mode=search", "토지이음")</f>
        <v/>
      </c>
      <c r="O2851" s="3" t="inlineStr">
        <is>
          <t>재화</t>
        </is>
      </c>
      <c r="P2851" s="4" t="n">
        <v>1</v>
      </c>
      <c r="Q2851" s="4" t="n">
        <v>2192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서정리 127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50000</v>
      </c>
      <c r="G2852" s="4" t="n">
        <v>2192</v>
      </c>
      <c r="H2852" s="4" t="n">
        <v>663</v>
      </c>
      <c r="I2852" s="5" t="n">
        <v>75.40000000000001</v>
      </c>
      <c r="J2852" s="5" t="n">
        <v>37.3</v>
      </c>
      <c r="K2852" s="3" t="inlineStr">
        <is>
          <t>급매</t>
        </is>
      </c>
      <c r="L2852" s="6">
        <f>HYPERLINK("https://fin.land.naver.com/articles/2656235319", "매물Link")</f>
        <v/>
      </c>
      <c r="M2852" s="6">
        <f>HYPERLINK("https://map.naver.com/p/search/전의면 서정리 127", "지도Link")</f>
        <v/>
      </c>
      <c r="N2852" s="6">
        <f>HYPERLINK("http://www.eum.go.kr/web/ar/lu/luLandDet.jsp?pnu=3611037023101270000&amp;isNoScr=script&amp;mode=search", "토지이음")</f>
        <v/>
      </c>
      <c r="O2852" s="3" t="inlineStr">
        <is>
          <t>그래그</t>
        </is>
      </c>
      <c r="P2852" s="4" t="n">
        <v>4</v>
      </c>
      <c r="Q2852" s="4" t="n">
        <v>2192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서정리 170-3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380000</v>
      </c>
      <c r="G2853" s="4" t="n">
        <v>9878</v>
      </c>
      <c r="H2853" s="4" t="n">
        <v>2988</v>
      </c>
      <c r="I2853" s="5" t="n">
        <v>127.2</v>
      </c>
      <c r="J2853" s="5" t="n">
        <v>88.59999999999999</v>
      </c>
      <c r="K2853" s="3" t="inlineStr">
        <is>
          <t>매력적인 가격, 2차선 도로접한 접근성 좋은토지, 계획관리</t>
        </is>
      </c>
      <c r="L2853" s="6">
        <f>HYPERLINK("https://fin.land.naver.com/articles/2651734607", "매물Link")</f>
        <v/>
      </c>
      <c r="M2853" s="6">
        <f>HYPERLINK("https://map.naver.com/p/search/전의면 서정리 170-3", "지도Link")</f>
        <v/>
      </c>
      <c r="N2853" s="6">
        <f>HYPERLINK("http://www.eum.go.kr/web/ar/lu/luLandDet.jsp?pnu=3611037023101700003&amp;isNoScr=script&amp;mode=search", "토지이음")</f>
        <v/>
      </c>
      <c r="O2853" s="3" t="inlineStr">
        <is>
          <t>스마트OK</t>
        </is>
      </c>
      <c r="P2853" s="4" t="n">
        <v>1</v>
      </c>
      <c r="Q2853" s="4" t="n">
        <v>970</v>
      </c>
      <c r="R2853" s="3" t="inlineStr">
        <is>
          <t>지정되지않음</t>
        </is>
      </c>
      <c r="S2853" s="3" t="inlineStr">
        <is>
          <t>주상용</t>
        </is>
      </c>
      <c r="T2853" s="3" t="inlineStr">
        <is>
          <t>평지</t>
        </is>
      </c>
      <c r="U2853" s="3" t="inlineStr">
        <is>
          <t>정방형</t>
        </is>
      </c>
      <c r="V2853" s="3" t="inlineStr">
        <is>
          <t>소로한면</t>
        </is>
      </c>
    </row>
    <row r="2854">
      <c r="A2854" s="3" t="inlineStr">
        <is>
          <t>전의면 서정리 215-1</t>
        </is>
      </c>
      <c r="B2854" s="3" t="inlineStr">
        <is>
          <t>농림지역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23000</v>
      </c>
      <c r="G2854" s="4" t="n">
        <v>2463</v>
      </c>
      <c r="H2854" s="4" t="n">
        <v>745</v>
      </c>
      <c r="I2854" s="5" t="n">
        <v>30.9</v>
      </c>
      <c r="J2854" s="5" t="n">
        <v>14.9</v>
      </c>
      <c r="K2854" s="3" t="inlineStr">
        <is>
          <t>nan</t>
        </is>
      </c>
      <c r="L2854" s="6">
        <f>HYPERLINK("https://fin.land.naver.com/articles/2650856664", "매물Link")</f>
        <v/>
      </c>
      <c r="M2854" s="6">
        <f>HYPERLINK("https://map.naver.com/p/search/전의면 서정리 215-1", "지도Link")</f>
        <v/>
      </c>
      <c r="N2854" s="6">
        <f>HYPERLINK("http://www.eum.go.kr/web/ar/lu/luLandDet.jsp?pnu=3611037023102150001&amp;isNoScr=script&amp;mode=search", "토지이음")</f>
        <v/>
      </c>
      <c r="O2854" s="3" t="inlineStr">
        <is>
          <t>세종대박</t>
        </is>
      </c>
      <c r="P2854" s="4" t="n">
        <v>1</v>
      </c>
      <c r="Q2854" s="4" t="n">
        <v>2463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서정리 288</t>
        </is>
      </c>
      <c r="B2855" s="3" t="inlineStr">
        <is>
          <t>계획관리지역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160000</v>
      </c>
      <c r="G2855" s="4" t="n">
        <v>4972</v>
      </c>
      <c r="H2855" s="4" t="n">
        <v>1504</v>
      </c>
      <c r="I2855" s="5" t="n">
        <v>106.4</v>
      </c>
      <c r="J2855" s="5" t="n">
        <v>21.3</v>
      </c>
      <c r="K2855" s="3" t="inlineStr">
        <is>
          <t>약 5미터도로접한 계획관리 토지. 분할가능</t>
        </is>
      </c>
      <c r="L2855" s="6">
        <f>HYPERLINK("https://fin.land.naver.com/articles/2652125883", "매물Link")</f>
        <v/>
      </c>
      <c r="M2855" s="6">
        <f>HYPERLINK("https://map.naver.com/p/search/전의면 서정리 288", "지도Link")</f>
        <v/>
      </c>
      <c r="N2855" s="6">
        <f>HYPERLINK("http://www.eum.go.kr/web/ar/lu/luLandDet.jsp?pnu=3611037023102880000&amp;isNoScr=script&amp;mode=search", "토지이음")</f>
        <v/>
      </c>
      <c r="O2855" s="3" t="inlineStr">
        <is>
          <t>미스터홈즈강남지사</t>
        </is>
      </c>
      <c r="P2855" s="4" t="n">
        <v>1</v>
      </c>
      <c r="Q2855" s="4" t="n">
        <v>932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서정리 380</t>
        </is>
      </c>
      <c r="B2856" s="3" t="inlineStr">
        <is>
          <t>계획관리지역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60000</v>
      </c>
      <c r="G2856" s="4" t="n">
        <v>3996</v>
      </c>
      <c r="H2856" s="4" t="n">
        <v>1209</v>
      </c>
      <c r="I2856" s="5" t="n">
        <v>49.6</v>
      </c>
      <c r="J2856" s="5" t="n">
        <v>23.2</v>
      </c>
      <c r="K2856" s="3" t="inlineStr">
        <is>
          <t>nan</t>
        </is>
      </c>
      <c r="L2856" s="6">
        <f>HYPERLINK("https://fin.land.naver.com/articles/2654027658", "매물Link")</f>
        <v/>
      </c>
      <c r="M2856" s="6">
        <f>HYPERLINK("https://map.naver.com/p/search/전의면 서정리 380", "지도Link")</f>
        <v/>
      </c>
      <c r="N2856" s="6">
        <f>HYPERLINK("http://www.eum.go.kr/web/ar/lu/luLandDet.jsp?pnu=3611037023103800000&amp;isNoScr=script&amp;mode=search", "토지이음")</f>
        <v/>
      </c>
      <c r="O2856" s="3" t="inlineStr">
        <is>
          <t>사랑  사무소</t>
        </is>
      </c>
      <c r="P2856" s="4" t="n">
        <v>2</v>
      </c>
      <c r="Q2856" s="4" t="n">
        <v>2996.5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서정리 49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80000</v>
      </c>
      <c r="G2857" s="4" t="n">
        <v>2641</v>
      </c>
      <c r="H2857" s="4" t="n">
        <v>799</v>
      </c>
      <c r="I2857" s="5" t="n">
        <v>100.1</v>
      </c>
      <c r="J2857" s="5" t="n">
        <v>20.8</v>
      </c>
      <c r="K2857" s="3" t="inlineStr">
        <is>
          <t>전의역 5분. 전의산업단지 인근. 계획관리지역. 투자가치 높은 토지</t>
        </is>
      </c>
      <c r="L2857" s="6">
        <f>HYPERLINK("https://fin.land.naver.com/articles/2651021353", "매물Link")</f>
        <v/>
      </c>
      <c r="M2857" s="6">
        <f>HYPERLINK("https://map.naver.com/p/search/전의면 서정리 49", "지도Link")</f>
        <v/>
      </c>
      <c r="N2857" s="6">
        <f>HYPERLINK("http://www.eum.go.kr/web/ar/lu/luLandDet.jsp?pnu=3611037023100490000&amp;isNoScr=script&amp;mode=search", "토지이음")</f>
        <v/>
      </c>
      <c r="O2857" s="3" t="inlineStr">
        <is>
          <t>새롬삼둥이</t>
        </is>
      </c>
      <c r="P2857" s="4" t="n">
        <v>1</v>
      </c>
      <c r="Q2857" s="4" t="n">
        <v>2641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서정리 78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답</t>
        </is>
      </c>
      <c r="E2858" s="3" t="inlineStr">
        <is>
          <t>매매</t>
        </is>
      </c>
      <c r="F2858" s="4" t="n">
        <v>62280</v>
      </c>
      <c r="G2858" s="4" t="n">
        <v>1716</v>
      </c>
      <c r="H2858" s="4" t="n">
        <v>519</v>
      </c>
      <c r="I2858" s="5" t="n">
        <v>120</v>
      </c>
      <c r="J2858" s="5" t="n">
        <v>30.7</v>
      </c>
      <c r="K2858" s="3" t="inlineStr">
        <is>
          <t>nan</t>
        </is>
      </c>
      <c r="L2858" s="6">
        <f>HYPERLINK("https://fin.land.naver.com/articles/2652272394", "매물Link")</f>
        <v/>
      </c>
      <c r="M2858" s="6">
        <f>HYPERLINK("https://map.naver.com/p/search/전의면 서정리 78", "지도Link")</f>
        <v/>
      </c>
      <c r="N2858" s="6">
        <f>HYPERLINK("http://www.eum.go.kr/web/ar/lu/luLandDet.jsp?pnu=3611037023100780000&amp;isNoScr=script&amp;mode=search", "토지이음")</f>
        <v/>
      </c>
      <c r="O2858" s="3" t="inlineStr">
        <is>
          <t>그림</t>
        </is>
      </c>
      <c r="P2858" s="4" t="n">
        <v>1</v>
      </c>
      <c r="Q2858" s="4" t="n">
        <v>1716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서정리 80-12</t>
        </is>
      </c>
      <c r="B2859" s="3" t="inlineStr">
        <is>
          <t>계획관리지역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21667</v>
      </c>
      <c r="G2859" s="4" t="n">
        <v>550</v>
      </c>
      <c r="H2859" s="4" t="n">
        <v>166</v>
      </c>
      <c r="I2859" s="5" t="n">
        <v>130.5</v>
      </c>
      <c r="J2859" s="5" t="n">
        <v>44.7</v>
      </c>
      <c r="K2859" s="3" t="inlineStr">
        <is>
          <t>세종시 전의면 전원주택부지 매매, 세종 스마트그린 일반산업단지 인근</t>
        </is>
      </c>
      <c r="L2859" s="6">
        <f>HYPERLINK("https://fin.land.naver.com/articles/2654442295", "매물Link")</f>
        <v/>
      </c>
      <c r="M2859" s="6">
        <f>HYPERLINK("https://map.naver.com/p/search/전의면 서정리 80-12", "지도Link")</f>
        <v/>
      </c>
      <c r="N2859" s="6">
        <f>HYPERLINK("http://www.eum.go.kr/web/ar/lu/luLandDet.jsp?pnu=3611037023100800012&amp;isNoScr=script&amp;mode=search", "토지이음")</f>
        <v/>
      </c>
      <c r="O2859" s="3" t="inlineStr">
        <is>
          <t>테크노비타사사무소</t>
        </is>
      </c>
      <c r="P2859" s="4" t="n">
        <v>1</v>
      </c>
      <c r="Q2859" s="4" t="n">
        <v>550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완경사</t>
        </is>
      </c>
      <c r="U2859" s="3" t="inlineStr">
        <is>
          <t>사다리형</t>
        </is>
      </c>
      <c r="V2859" s="3" t="inlineStr">
        <is>
          <t>세로한면(가)</t>
        </is>
      </c>
    </row>
    <row r="2860">
      <c r="A2860" s="3" t="inlineStr">
        <is>
          <t>전의면 서정리 80-31</t>
        </is>
      </c>
      <c r="B2860" s="3" t="inlineStr">
        <is>
          <t>계획관리지역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32000</v>
      </c>
      <c r="G2860" s="4" t="n">
        <v>704</v>
      </c>
      <c r="H2860" s="4" t="n">
        <v>213</v>
      </c>
      <c r="I2860" s="5" t="n">
        <v>150.2</v>
      </c>
      <c r="J2860" s="5" t="n">
        <v>44.7</v>
      </c>
      <c r="K2860" s="3" t="inlineStr">
        <is>
          <t>급매, 조망좋은 계획관리지역의 택지개발 완료한 전원주택단지내 대지</t>
        </is>
      </c>
      <c r="L2860" s="6">
        <f>HYPERLINK("https://fin.land.naver.com/articles/2650928765", "매물Link")</f>
        <v/>
      </c>
      <c r="M2860" s="6">
        <f>HYPERLINK("https://map.naver.com/p/search/전의면 서정리 80-31", "지도Link")</f>
        <v/>
      </c>
      <c r="N2860" s="6">
        <f>HYPERLINK("http://www.eum.go.kr/web/ar/lu/luLandDet.jsp?pnu=3611037023100800031&amp;isNoScr=script&amp;mode=search",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550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서정리 93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61200</v>
      </c>
      <c r="G2861" s="4" t="n">
        <v>1838</v>
      </c>
      <c r="H2861" s="4" t="n">
        <v>556</v>
      </c>
      <c r="I2861" s="5" t="n">
        <v>110.1</v>
      </c>
      <c r="J2861" s="5" t="n">
        <v>36.1</v>
      </c>
      <c r="K2861" s="3" t="inlineStr">
        <is>
          <t>계획관리지역, 포장된 사로 연결, 인근에 전원주택단지 및 산업단지</t>
        </is>
      </c>
      <c r="L2861" s="6">
        <f>HYPERLINK("https://fin.land.naver.com/articles/2656063582", "매물Link")</f>
        <v/>
      </c>
      <c r="M2861" s="6">
        <f>HYPERLINK("https://map.naver.com/p/search/전의면 서정리 93", "지도Link")</f>
        <v/>
      </c>
      <c r="N2861" s="6">
        <f>HYPERLINK("http://www.eum.go.kr/web/ar/lu/luLandDet.jsp?pnu=3611037023100930000&amp;isNoScr=script&amp;mode=search", "토지이음")</f>
        <v/>
      </c>
      <c r="O2861" s="3" t="inlineStr">
        <is>
          <t>온뜰</t>
        </is>
      </c>
      <c r="P2861" s="4" t="n">
        <v>1</v>
      </c>
      <c r="Q2861" s="4" t="n">
        <v>1838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신방리 343-1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4800</v>
      </c>
      <c r="G2862" s="4" t="n">
        <v>783</v>
      </c>
      <c r="H2862" s="4" t="n">
        <v>237</v>
      </c>
      <c r="I2862" s="5" t="n">
        <v>20.3</v>
      </c>
      <c r="J2862" s="5" t="n">
        <v>15.1</v>
      </c>
      <c r="K2862" s="3" t="inlineStr">
        <is>
          <t>농막가능한 텃밭 소형토지</t>
        </is>
      </c>
      <c r="L2862" s="6">
        <f>HYPERLINK("https://fin.land.naver.com/articles/2655483491", "매물Link")</f>
        <v/>
      </c>
      <c r="M2862" s="6">
        <f>HYPERLINK("https://map.naver.com/p/search/전의면 신방리 343-1", "지도Link")</f>
        <v/>
      </c>
      <c r="N2862" s="6">
        <f>HYPERLINK("http://www.eum.go.kr/web/ar/lu/luLandDet.jsp?pnu=3611037030103430001&amp;isNoScr=script&amp;mode=search", "토지이음")</f>
        <v/>
      </c>
      <c r="O2862" s="3" t="inlineStr">
        <is>
          <t>88</t>
        </is>
      </c>
      <c r="P2862" s="4" t="n">
        <v>1</v>
      </c>
      <c r="Q2862" s="4" t="n">
        <v>783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맹지</t>
        </is>
      </c>
    </row>
    <row r="2863">
      <c r="A2863" s="3" t="inlineStr">
        <is>
          <t>전의면 신방리 350-1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3000</v>
      </c>
      <c r="G2863" s="4" t="n">
        <v>340</v>
      </c>
      <c r="H2863" s="4" t="n">
        <v>103</v>
      </c>
      <c r="I2863" s="5" t="n">
        <v>29.1</v>
      </c>
      <c r="J2863" s="5" t="n">
        <v>15.6</v>
      </c>
      <c r="K2863" s="3" t="inlineStr">
        <is>
          <t>냇가 옆, 차량진입, 전원주택, 주말농장, 체류형 쉼터 적지</t>
        </is>
      </c>
      <c r="L2863" s="6">
        <f>HYPERLINK("https://fin.land.naver.com/articles/2655028744", "매물Link")</f>
        <v/>
      </c>
      <c r="M2863" s="6">
        <f>HYPERLINK("https://map.naver.com/p/search/전의면 신방리 350-1", "지도Link")</f>
        <v/>
      </c>
      <c r="N2863" s="6">
        <f>HYPERLINK("http://www.eum.go.kr/web/ar/lu/luLandDet.jsp?pnu=3611037030103500001&amp;isNoScr=script&amp;mode=search", "토지이음")</f>
        <v/>
      </c>
      <c r="O2863" s="3" t="inlineStr">
        <is>
          <t>우리들</t>
        </is>
      </c>
      <c r="P2863" s="4" t="n">
        <v>1</v>
      </c>
      <c r="Q2863" s="4" t="n">
        <v>337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맹지</t>
        </is>
      </c>
    </row>
    <row r="2864">
      <c r="A2864" s="3" t="inlineStr">
        <is>
          <t>전의면 신방리 424-2</t>
        </is>
      </c>
      <c r="B2864" s="3" t="inlineStr">
        <is>
          <t>계획관리지역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36800</v>
      </c>
      <c r="G2864" s="4" t="n">
        <v>3038</v>
      </c>
      <c r="H2864" s="4" t="n">
        <v>919</v>
      </c>
      <c r="I2864" s="5" t="n">
        <v>40</v>
      </c>
      <c r="J2864" s="5" t="n">
        <v>18</v>
      </c>
      <c r="K2864" s="3" t="inlineStr">
        <is>
          <t>세종 전의면 계획관리지역 토지입니다.</t>
        </is>
      </c>
      <c r="L2864" s="6">
        <f>HYPERLINK("https://fin.land.naver.com/articles/2656386457", "매물Link")</f>
        <v/>
      </c>
      <c r="M2864" s="6">
        <f>HYPERLINK("https://map.naver.com/p/search/전의면 신방리 424-2", "지도Link")</f>
        <v/>
      </c>
      <c r="N2864" s="6">
        <f>HYPERLINK("http://www.eum.go.kr/web/ar/lu/luLandDet.jsp?pnu=3611037030104240002&amp;isNoScr=script&amp;mode=search", "토지이음")</f>
        <v/>
      </c>
      <c r="O2864" s="3" t="inlineStr">
        <is>
          <t>OK파라곤</t>
        </is>
      </c>
      <c r="P2864" s="4" t="n">
        <v>1</v>
      </c>
      <c r="Q2864" s="4" t="n">
        <v>3038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세로한면(불)</t>
        </is>
      </c>
    </row>
    <row r="2865">
      <c r="A2865" s="3" t="inlineStr">
        <is>
          <t>전의면 신방리 505-1</t>
        </is>
      </c>
      <c r="B2865" s="3" t="inlineStr">
        <is>
          <t>농림지역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36500</v>
      </c>
      <c r="G2865" s="4" t="n">
        <v>3355</v>
      </c>
      <c r="H2865" s="4" t="n">
        <v>1015</v>
      </c>
      <c r="I2865" s="5" t="n">
        <v>36</v>
      </c>
      <c r="J2865" s="5" t="n">
        <v>14</v>
      </c>
      <c r="K2865" s="3" t="inlineStr">
        <is>
          <t>평단가 저렴한 전의면 신방리 토지</t>
        </is>
      </c>
      <c r="L2865" s="6">
        <f>HYPERLINK("https://fin.land.naver.com/articles/2653684213", "매물Link")</f>
        <v/>
      </c>
      <c r="M2865" s="6">
        <f>HYPERLINK("https://map.naver.com/p/search/전의면 신방리 505-1", "지도Link")</f>
        <v/>
      </c>
      <c r="N2865" s="6">
        <f>HYPERLINK("http://www.eum.go.kr/web/ar/lu/luLandDet.jsp?pnu=3611037030105050001&amp;isNoScr=script&amp;mode=search", "토지이음")</f>
        <v/>
      </c>
      <c r="O2865" s="3" t="inlineStr">
        <is>
          <t>지성</t>
        </is>
      </c>
      <c r="P2865" s="4" t="n">
        <v>1</v>
      </c>
      <c r="Q2865" s="4" t="n">
        <v>3355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신방리 68-2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39200</v>
      </c>
      <c r="G2866" s="4" t="n">
        <v>1295</v>
      </c>
      <c r="H2866" s="4" t="n">
        <v>392</v>
      </c>
      <c r="I2866" s="5" t="n">
        <v>100</v>
      </c>
      <c r="J2866" s="5" t="n">
        <v>48</v>
      </c>
      <c r="K2866" s="3" t="inlineStr">
        <is>
          <t>nan</t>
        </is>
      </c>
      <c r="L2866" s="6">
        <f>HYPERLINK("https://fin.land.naver.com/articles/2652066215", "매물Link")</f>
        <v/>
      </c>
      <c r="M2866" s="6">
        <f>HYPERLINK("https://map.naver.com/p/search/전의면 신방리 68-2", "지도Link")</f>
        <v/>
      </c>
      <c r="N2866" s="6">
        <f>HYPERLINK("http://www.eum.go.kr/web/ar/lu/luLandDet.jsp?pnu=3611037030100680002&amp;isNoScr=script&amp;mode=search", "토지이음")</f>
        <v/>
      </c>
      <c r="O2866" s="3" t="inlineStr">
        <is>
          <t>신와촌</t>
        </is>
      </c>
      <c r="P2866" s="4" t="n">
        <v>1</v>
      </c>
      <c r="Q2866" s="4" t="n">
        <v>1297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신정리 170</t>
        </is>
      </c>
      <c r="B2867" s="3" t="inlineStr">
        <is>
          <t>계획관리지역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45000</v>
      </c>
      <c r="G2867" s="4" t="n">
        <v>1897</v>
      </c>
      <c r="H2867" s="4" t="n">
        <v>574</v>
      </c>
      <c r="I2867" s="5" t="n">
        <v>78.40000000000001</v>
      </c>
      <c r="J2867" s="5" t="n">
        <v>38.7</v>
      </c>
      <c r="K2867" s="3" t="inlineStr">
        <is>
          <t>도로있음, 전원주택 포함</t>
        </is>
      </c>
      <c r="L2867" s="6">
        <f>HYPERLINK("https://fin.land.naver.com/articles/2656220134", "매물Link")</f>
        <v/>
      </c>
      <c r="M2867" s="6">
        <f>HYPERLINK("https://map.naver.com/p/search/전의면 신정리 170", "지도Link")</f>
        <v/>
      </c>
      <c r="N2867" s="6">
        <f>HYPERLINK("http://www.eum.go.kr/web/ar/lu/luLandDet.jsp?pnu=3611037028101700000&amp;isNoScr=script&amp;mode=search", "토지이음")</f>
        <v/>
      </c>
      <c r="O2867" s="3" t="inlineStr">
        <is>
          <t>북세종</t>
        </is>
      </c>
      <c r="P2867" s="4" t="n">
        <v>1</v>
      </c>
      <c r="Q2867" s="4" t="n">
        <v>549</v>
      </c>
      <c r="R2867" s="3" t="inlineStr">
        <is>
          <t>지정되지않음</t>
        </is>
      </c>
      <c r="S2867" s="3" t="inlineStr">
        <is>
          <t>단독</t>
        </is>
      </c>
      <c r="T2867" s="3" t="inlineStr">
        <is>
          <t>완경사</t>
        </is>
      </c>
      <c r="U2867" s="3" t="inlineStr">
        <is>
          <t>사다리형</t>
        </is>
      </c>
      <c r="V2867" s="3" t="inlineStr">
        <is>
          <t>세로한면(가)</t>
        </is>
      </c>
    </row>
    <row r="2868">
      <c r="A2868" s="3" t="inlineStr">
        <is>
          <t>전의면 신정리 258-3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48530</v>
      </c>
      <c r="G2868" s="4" t="n">
        <v>1395</v>
      </c>
      <c r="H2868" s="4" t="n">
        <v>422</v>
      </c>
      <c r="I2868" s="5" t="n">
        <v>115</v>
      </c>
      <c r="J2868" s="5" t="n">
        <v>20.6</v>
      </c>
      <c r="K2868" s="3" t="inlineStr">
        <is>
          <t>전의일반산단 인근 계획관리 토지. 전의역 2.5km 반경</t>
        </is>
      </c>
      <c r="L2868" s="6">
        <f>HYPERLINK("https://fin.land.naver.com/articles/2652031822", "매물Link")</f>
        <v/>
      </c>
      <c r="M2868" s="6">
        <f>HYPERLINK("https://map.naver.com/p/search/전의면 신정리 258-3", "지도Link")</f>
        <v/>
      </c>
      <c r="N2868" s="6">
        <f>HYPERLINK("http://www.eum.go.kr/web/ar/lu/luLandDet.jsp?pnu=3611037028102580003&amp;isNoScr=script&amp;mode=search",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1395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사다리형</t>
        </is>
      </c>
      <c r="V2868" s="3" t="inlineStr">
        <is>
          <t>세로한면(가)</t>
        </is>
      </c>
    </row>
    <row r="2869">
      <c r="A2869" s="3" t="inlineStr">
        <is>
          <t>전의면 신정리 265</t>
        </is>
      </c>
      <c r="B2869" s="3" t="inlineStr">
        <is>
          <t>계획관리지역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100000</v>
      </c>
      <c r="G2869" s="4" t="n">
        <v>3415</v>
      </c>
      <c r="H2869" s="4" t="n">
        <v>1033</v>
      </c>
      <c r="I2869" s="5" t="n">
        <v>96.8</v>
      </c>
      <c r="J2869" s="5" t="n">
        <v>16</v>
      </c>
      <c r="K2869" s="3" t="inlineStr">
        <is>
          <t>필지가 여러개임.</t>
        </is>
      </c>
      <c r="L2869" s="6">
        <f>HYPERLINK("https://fin.land.naver.com/articles/2654853943", "매물Link")</f>
        <v/>
      </c>
      <c r="M2869" s="6">
        <f>HYPERLINK("https://map.naver.com/p/search/전의면 신정리 265", "지도Link")</f>
        <v/>
      </c>
      <c r="N2869" s="6">
        <f>HYPERLINK("http://www.eum.go.kr/web/ar/lu/luLandDet.jsp?pnu=3611037028102650000&amp;isNoScr=script&amp;mode=search", "토지이음")</f>
        <v/>
      </c>
      <c r="O2869" s="3" t="inlineStr">
        <is>
          <t>세종리츠</t>
        </is>
      </c>
      <c r="P2869" s="4" t="n">
        <v>1</v>
      </c>
      <c r="Q2869" s="4" t="n">
        <v>1200</v>
      </c>
      <c r="R2869" s="3" t="inlineStr">
        <is>
          <t>지정되지않음</t>
        </is>
      </c>
      <c r="S2869" s="3" t="inlineStr">
        <is>
          <t>전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맹지</t>
        </is>
      </c>
    </row>
    <row r="2870">
      <c r="A2870" s="3" t="inlineStr">
        <is>
          <t>전의면 신정리 296</t>
        </is>
      </c>
      <c r="B2870" s="3" t="inlineStr">
        <is>
          <t>농림지역</t>
        </is>
      </c>
      <c r="C2870" s="3" t="inlineStr">
        <is>
          <t>답</t>
        </is>
      </c>
      <c r="D2870" s="3" t="inlineStr">
        <is>
          <t>기타</t>
        </is>
      </c>
      <c r="E2870" s="3" t="inlineStr">
        <is>
          <t>매매</t>
        </is>
      </c>
      <c r="F2870" s="4" t="n">
        <v>100000</v>
      </c>
      <c r="G2870" s="4" t="n">
        <v>9763</v>
      </c>
      <c r="H2870" s="4" t="n">
        <v>2953</v>
      </c>
      <c r="I2870" s="5" t="n">
        <v>33.9</v>
      </c>
      <c r="J2870" s="5" t="n">
        <v>14.7</v>
      </c>
      <c r="K2870" s="3" t="inlineStr">
        <is>
          <t>대명 423 0204 화급</t>
        </is>
      </c>
      <c r="L2870" s="6">
        <f>HYPERLINK("https://fin.land.naver.com/articles/2650980720", "매물Link")</f>
        <v/>
      </c>
      <c r="M2870" s="6">
        <f>HYPERLINK("https://map.naver.com/p/search/전의면 신정리 296", "지도Link")</f>
        <v/>
      </c>
      <c r="N2870" s="6">
        <f>HYPERLINK("http://www.eum.go.kr/web/ar/lu/luLandDet.jsp?pnu=3611037028102960000&amp;isNoScr=script&amp;mode=search", "토지이음")</f>
        <v/>
      </c>
      <c r="O2870" s="3" t="inlineStr">
        <is>
          <t>대명</t>
        </is>
      </c>
      <c r="P2870" s="4" t="n">
        <v>1</v>
      </c>
      <c r="Q2870" s="4" t="n">
        <v>4069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세로한면(불)</t>
        </is>
      </c>
    </row>
    <row r="2871">
      <c r="A2871" s="3" t="inlineStr">
        <is>
          <t>전의면 신정리 301</t>
        </is>
      </c>
      <c r="B2871" s="3" t="inlineStr">
        <is>
          <t>농림지역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15200</v>
      </c>
      <c r="G2871" s="4" t="n">
        <v>1002</v>
      </c>
      <c r="H2871" s="4" t="n">
        <v>303</v>
      </c>
      <c r="I2871" s="5" t="n">
        <v>50.2</v>
      </c>
      <c r="J2871" s="5" t="n">
        <v>17.6</v>
      </c>
      <c r="K2871" s="3" t="inlineStr">
        <is>
          <t>2차선접한 농림지역 전. 무허가주택은 멸실 또는 양성화 가능</t>
        </is>
      </c>
      <c r="L2871" s="6">
        <f>HYPERLINK("https://fin.land.naver.com/articles/2651150943", "매물Link")</f>
        <v/>
      </c>
      <c r="M2871" s="6">
        <f>HYPERLINK("https://map.naver.com/p/search/전의면 신정리 301", "지도Link")</f>
        <v/>
      </c>
      <c r="N2871" s="6">
        <f>HYPERLINK("http://www.eum.go.kr/web/ar/lu/luLandDet.jsp?pnu=3611037028103010000&amp;isNoScr=script&amp;mode=search", "토지이음")</f>
        <v/>
      </c>
      <c r="O2871" s="3" t="inlineStr">
        <is>
          <t>미스터홈즈강남지사</t>
        </is>
      </c>
      <c r="P2871" s="4" t="n">
        <v>1</v>
      </c>
      <c r="Q2871" s="4" t="n">
        <v>1002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소로한면</t>
        </is>
      </c>
    </row>
    <row r="2872">
      <c r="A2872" s="3" t="inlineStr">
        <is>
          <t>전의면 신정리 486-2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108000</v>
      </c>
      <c r="G2872" s="4" t="n">
        <v>3954</v>
      </c>
      <c r="H2872" s="4" t="n">
        <v>1196</v>
      </c>
      <c r="I2872" s="5" t="n">
        <v>90.3</v>
      </c>
      <c r="J2872" s="5" t="n">
        <v>26.8</v>
      </c>
      <c r="K2872" s="3" t="inlineStr">
        <is>
          <t>가,감차선 진,출입로 설치됨</t>
        </is>
      </c>
      <c r="L2872" s="6">
        <f>HYPERLINK("https://fin.land.naver.com/articles/2656211686", "매물Link")</f>
        <v/>
      </c>
      <c r="M2872" s="6">
        <f>HYPERLINK("https://map.naver.com/p/search/전의면 신정리 486-2", "지도Link")</f>
        <v/>
      </c>
      <c r="N2872" s="6">
        <f>HYPERLINK("http://www.eum.go.kr/web/ar/lu/luLandDet.jsp?pnu=3611037028104860002&amp;isNoScr=script&amp;mode=search", "토지이음")</f>
        <v/>
      </c>
      <c r="O2872" s="3" t="inlineStr">
        <is>
          <t>으뜸</t>
        </is>
      </c>
      <c r="P2872" s="4" t="n">
        <v>1</v>
      </c>
      <c r="Q2872" s="4" t="n">
        <v>3309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중로한면</t>
        </is>
      </c>
    </row>
    <row r="2873">
      <c r="A2873" s="3" t="inlineStr">
        <is>
          <t>전의면 신정리 564-10</t>
        </is>
      </c>
      <c r="B2873" s="3" t="inlineStr">
        <is>
          <t>계획관리지역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</v>
      </c>
      <c r="G2873" s="4" t="n">
        <v>354</v>
      </c>
      <c r="H2873" s="4" t="n">
        <v>107</v>
      </c>
      <c r="I2873" s="5" t="n">
        <v>102.8</v>
      </c>
      <c r="J2873" s="5" t="n">
        <v>46.2</v>
      </c>
      <c r="K2873" s="3" t="inlineStr">
        <is>
          <t>도로 접한 토지로 건축용이함 전원주택및 창고용지 좋음</t>
        </is>
      </c>
      <c r="L2873" s="6">
        <f>HYPERLINK("https://fin.land.naver.com/articles/2653414529", "매물Link")</f>
        <v/>
      </c>
      <c r="M2873" s="6">
        <f>HYPERLINK("https://map.naver.com/p/search/전의면 신정리 564-10", "지도Link")</f>
        <v/>
      </c>
      <c r="N2873" s="6">
        <f>HYPERLINK("http://www.eum.go.kr/web/ar/lu/luLandDet.jsp?pnu=3611037028105640010&amp;isNoScr=script&amp;mode=search", "토지이음")</f>
        <v/>
      </c>
      <c r="O2873" s="3" t="inlineStr">
        <is>
          <t>큰길</t>
        </is>
      </c>
      <c r="P2873" s="4" t="n">
        <v>1</v>
      </c>
      <c r="Q2873" s="4" t="n">
        <v>354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전의면 신정리 590</t>
        </is>
      </c>
      <c r="B2874" s="3" t="inlineStr">
        <is>
          <t>자연녹지지역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11200</v>
      </c>
      <c r="G2874" s="4" t="n">
        <v>1233</v>
      </c>
      <c r="H2874" s="4" t="n">
        <v>373</v>
      </c>
      <c r="I2874" s="5" t="n">
        <v>30</v>
      </c>
      <c r="J2874" s="5" t="n">
        <v>20</v>
      </c>
      <c r="K2874" s="3" t="inlineStr">
        <is>
          <t>세종시 저렴한 대토용지</t>
        </is>
      </c>
      <c r="L2874" s="6">
        <f>HYPERLINK("https://fin.land.naver.com/articles/2656217482", "매물Link")</f>
        <v/>
      </c>
      <c r="M2874" s="6">
        <f>HYPERLINK("https://map.naver.com/p/search/전의면 신정리 590", "지도Link")</f>
        <v/>
      </c>
      <c r="N2874" s="6">
        <f>HYPERLINK("http://www.eum.go.kr/web/ar/lu/luLandDet.jsp?pnu=3611037028105900000&amp;isNoScr=script&amp;mode=search", "토지이음")</f>
        <v/>
      </c>
      <c r="O2874" s="3" t="inlineStr">
        <is>
          <t>북세종</t>
        </is>
      </c>
      <c r="P2874" s="4" t="n">
        <v>1</v>
      </c>
      <c r="Q2874" s="4" t="n">
        <v>1233</v>
      </c>
      <c r="R2874" s="3" t="inlineStr">
        <is>
          <t>계획관리지역</t>
        </is>
      </c>
      <c r="S2874" s="3" t="inlineStr">
        <is>
          <t>전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맹지</t>
        </is>
      </c>
    </row>
    <row r="2875">
      <c r="A2875" s="3" t="inlineStr">
        <is>
          <t>전의면 신정리 61-2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17500</v>
      </c>
      <c r="G2875" s="4" t="n">
        <v>1828</v>
      </c>
      <c r="H2875" s="4" t="n">
        <v>553</v>
      </c>
      <c r="I2875" s="5" t="n">
        <v>31.6</v>
      </c>
      <c r="J2875" s="5" t="n">
        <v>12.2</v>
      </c>
      <c r="K2875" s="3" t="inlineStr">
        <is>
          <t>세종시 계획관리토지 급매</t>
        </is>
      </c>
      <c r="L2875" s="6">
        <f>HYPERLINK("https://fin.land.naver.com/articles/2654287249", "매물Link")</f>
        <v/>
      </c>
      <c r="M2875" s="6">
        <f>HYPERLINK("https://map.naver.com/p/search/전의면 신정리 61-2", "지도Link")</f>
        <v/>
      </c>
      <c r="N2875" s="6">
        <f>HYPERLINK("http://www.eum.go.kr/web/ar/lu/luLandDet.jsp?pnu=3611037028100610002&amp;isNoScr=script&amp;mode=search", "토지이음")</f>
        <v/>
      </c>
      <c r="O2875" s="3" t="inlineStr">
        <is>
          <t>그린</t>
        </is>
      </c>
      <c r="P2875" s="4" t="n">
        <v>1</v>
      </c>
      <c r="Q2875" s="4" t="n">
        <v>1828</v>
      </c>
      <c r="R2875" s="3" t="inlineStr">
        <is>
          <t>보전관리지역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세로한면(불)</t>
        </is>
      </c>
    </row>
    <row r="2876">
      <c r="A2876" s="3" t="inlineStr">
        <is>
          <t>전의면 신정리 62-1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60000</v>
      </c>
      <c r="G2876" s="4" t="n">
        <v>4691</v>
      </c>
      <c r="H2876" s="4" t="n">
        <v>1419</v>
      </c>
      <c r="I2876" s="5" t="n">
        <v>42.3</v>
      </c>
      <c r="J2876" s="5" t="n">
        <v>14.9</v>
      </c>
      <c r="K2876" s="3" t="inlineStr">
        <is>
          <t>nan</t>
        </is>
      </c>
      <c r="L2876" s="6">
        <f>HYPERLINK("https://fin.land.naver.com/articles/2655196107", "매물Link")</f>
        <v/>
      </c>
      <c r="M2876" s="6">
        <f>HYPERLINK("https://map.naver.com/p/search/전의면 신정리 62-1", "지도Link")</f>
        <v/>
      </c>
      <c r="N2876" s="6">
        <f>HYPERLINK("http://www.eum.go.kr/web/ar/lu/luLandDet.jsp?pnu=3611037028100620001&amp;isNoScr=script&amp;mode=search", "토지이음")</f>
        <v/>
      </c>
      <c r="O2876" s="3" t="inlineStr">
        <is>
          <t>이림 사무소</t>
        </is>
      </c>
      <c r="P2876" s="4" t="n">
        <v>1</v>
      </c>
      <c r="Q2876" s="4" t="n">
        <v>1223</v>
      </c>
      <c r="R2876" s="3" t="inlineStr">
        <is>
          <t>보전관리지역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세로한면(불)</t>
        </is>
      </c>
    </row>
    <row r="2877">
      <c r="A2877" s="3" t="inlineStr">
        <is>
          <t>전의면 신정리 62-2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45000</v>
      </c>
      <c r="G2877" s="4" t="n">
        <v>4691</v>
      </c>
      <c r="H2877" s="4" t="n">
        <v>1419</v>
      </c>
      <c r="I2877" s="5" t="n">
        <v>31.7</v>
      </c>
      <c r="J2877" s="5" t="n">
        <v>15.2</v>
      </c>
      <c r="K2877" s="3" t="inlineStr">
        <is>
          <t>nan</t>
        </is>
      </c>
      <c r="L2877" s="6">
        <f>HYPERLINK("https://fin.land.naver.com/articles/2655626796", "매물Link")</f>
        <v/>
      </c>
      <c r="M2877" s="6">
        <f>HYPERLINK("https://map.naver.com/p/search/전의면 신정리 62-2", "지도Link")</f>
        <v/>
      </c>
      <c r="N2877" s="6">
        <f>HYPERLINK("http://www.eum.go.kr/web/ar/lu/luLandDet.jsp?pnu=3611037028100620002&amp;isNoScr=script&amp;mode=search", "토지이음")</f>
        <v/>
      </c>
      <c r="O2877" s="3" t="inlineStr">
        <is>
          <t>시티프라디움</t>
        </is>
      </c>
      <c r="P2877" s="4" t="n">
        <v>1</v>
      </c>
      <c r="Q2877" s="4" t="n">
        <v>3468</v>
      </c>
      <c r="R2877" s="3" t="inlineStr">
        <is>
          <t>보전관리지역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신정리 659</t>
        </is>
      </c>
      <c r="B2878" s="3" t="inlineStr">
        <is>
          <t>계획관리지역</t>
        </is>
      </c>
      <c r="C2878" s="3" t="inlineStr">
        <is>
          <t>공장용지</t>
        </is>
      </c>
      <c r="D2878" s="3" t="inlineStr">
        <is>
          <t>공장용지</t>
        </is>
      </c>
      <c r="E2878" s="3" t="inlineStr">
        <is>
          <t>매매</t>
        </is>
      </c>
      <c r="F2878" s="4" t="n">
        <v>1895000</v>
      </c>
      <c r="G2878" s="4" t="n">
        <v>41765</v>
      </c>
      <c r="H2878" s="4" t="n">
        <v>12634</v>
      </c>
      <c r="I2878" s="5" t="n">
        <v>150</v>
      </c>
      <c r="J2878" s="5" t="n">
        <v>74.09999999999999</v>
      </c>
      <c r="K2878" s="3" t="inlineStr">
        <is>
          <t>2차선 접한 총 10필지로 공장 및 대형물류센터로 적극추천</t>
        </is>
      </c>
      <c r="L2878" s="6">
        <f>HYPERLINK("https://fin.land.naver.com/articles/2651980261", "매물Link")</f>
        <v/>
      </c>
      <c r="M2878" s="6">
        <f>HYPERLINK("https://map.naver.com/p/search/전의면 신정리 659", "지도Link")</f>
        <v/>
      </c>
      <c r="N2878" s="6">
        <f>HYPERLINK("http://www.eum.go.kr/web/ar/lu/luLandDet.jsp?pnu=3611037028106590000&amp;isNoScr=script&amp;mode=search", "토지이음")</f>
        <v/>
      </c>
      <c r="O2878" s="3" t="inlineStr">
        <is>
          <t>금화랜드</t>
        </is>
      </c>
      <c r="P2878" s="4" t="n">
        <v>1</v>
      </c>
      <c r="Q2878" s="4" t="n">
        <v>4090.9</v>
      </c>
      <c r="R2878" s="3" t="inlineStr">
        <is>
          <t>지정되지않음</t>
        </is>
      </c>
      <c r="S2878" s="3" t="inlineStr">
        <is>
          <t>공업나지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중로한면</t>
        </is>
      </c>
    </row>
    <row r="2879">
      <c r="A2879" s="3" t="inlineStr">
        <is>
          <t>전의면 신정리 660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555000</v>
      </c>
      <c r="G2879" s="4" t="n">
        <v>12228</v>
      </c>
      <c r="H2879" s="4" t="n">
        <v>3699</v>
      </c>
      <c r="I2879" s="5" t="n">
        <v>150</v>
      </c>
      <c r="J2879" s="5" t="n">
        <v>74.09999999999999</v>
      </c>
      <c r="K2879" s="3" t="inlineStr">
        <is>
          <t>세종시 권역 2차선접한 계획관리지역,공장용지로 조성된곳,대형공장추천</t>
        </is>
      </c>
      <c r="L2879" s="6">
        <f>HYPERLINK("https://fin.land.naver.com/articles/2653576524", "매물Link")</f>
        <v/>
      </c>
      <c r="M2879" s="6">
        <f>HYPERLINK("https://map.naver.com/p/search/전의면 신정리 660", "지도Link")</f>
        <v/>
      </c>
      <c r="N2879" s="6">
        <f>HYPERLINK("http://www.eum.go.kr/web/ar/lu/luLandDet.jsp?pnu=3611037028106600000&amp;isNoScr=script&amp;mode=search", "토지이음")</f>
        <v/>
      </c>
      <c r="O2879" s="3" t="inlineStr">
        <is>
          <t>(주)미르</t>
        </is>
      </c>
      <c r="P2879" s="4" t="n">
        <v>3</v>
      </c>
      <c r="Q2879" s="4" t="n">
        <v>3057</v>
      </c>
      <c r="R2879" s="3" t="inlineStr">
        <is>
          <t>지정되지않음</t>
        </is>
      </c>
      <c r="S2879" s="3" t="inlineStr">
        <is>
          <t>공업나지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중로한면</t>
        </is>
      </c>
    </row>
    <row r="2880">
      <c r="A2880" s="3" t="inlineStr">
        <is>
          <t>전의면 신정리 665</t>
        </is>
      </c>
      <c r="B2880" s="3" t="inlineStr">
        <is>
          <t>계획관리지역</t>
        </is>
      </c>
      <c r="C2880" s="3" t="inlineStr">
        <is>
          <t>공장용지</t>
        </is>
      </c>
      <c r="D2880" s="3" t="inlineStr">
        <is>
          <t>공장용지</t>
        </is>
      </c>
      <c r="E2880" s="3" t="inlineStr">
        <is>
          <t>매매</t>
        </is>
      </c>
      <c r="F2880" s="4" t="n">
        <v>1895000</v>
      </c>
      <c r="G2880" s="4" t="n">
        <v>41765</v>
      </c>
      <c r="H2880" s="4" t="n">
        <v>12634</v>
      </c>
      <c r="I2880" s="5" t="n">
        <v>150</v>
      </c>
      <c r="J2880" s="5" t="n">
        <v>74.09999999999999</v>
      </c>
      <c r="K2880" s="3" t="inlineStr">
        <is>
          <t>세종시 전의면 2차선 접한 계획관리지역.공장용지로 조성된 곳</t>
        </is>
      </c>
      <c r="L2880" s="6">
        <f>HYPERLINK("https://fin.land.naver.com/articles/2651151560", "매물Link")</f>
        <v/>
      </c>
      <c r="M2880" s="6">
        <f>HYPERLINK("https://map.naver.com/p/search/전의면 신정리 665", "지도Link")</f>
        <v/>
      </c>
      <c r="N2880" s="6">
        <f>HYPERLINK("http://www.eum.go.kr/web/ar/lu/luLandDet.jsp?pnu=3611037028106650000&amp;isNoScr=script&amp;mode=search", "토지이음")</f>
        <v/>
      </c>
      <c r="O2880" s="3" t="inlineStr">
        <is>
          <t>(주)미르</t>
        </is>
      </c>
      <c r="P2880" s="4" t="n">
        <v>1</v>
      </c>
      <c r="Q2880" s="4" t="n">
        <v>4044.1</v>
      </c>
      <c r="R2880" s="3" t="inlineStr">
        <is>
          <t>지정되지않음</t>
        </is>
      </c>
      <c r="S2880" s="3" t="inlineStr">
        <is>
          <t>공업나지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중로한면</t>
        </is>
      </c>
    </row>
    <row r="2881">
      <c r="A2881" s="3" t="inlineStr">
        <is>
          <t>전의면 신정리 산105-1</t>
        </is>
      </c>
      <c r="B2881" s="3" t="inlineStr">
        <is>
          <t>농림지역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145000</v>
      </c>
      <c r="G2881" s="4" t="n">
        <v>9635</v>
      </c>
      <c r="H2881" s="4" t="n">
        <v>2915</v>
      </c>
      <c r="I2881" s="5" t="n">
        <v>49.7</v>
      </c>
      <c r="J2881" s="5" t="n">
        <v>2.6</v>
      </c>
      <c r="K2881" s="3" t="inlineStr">
        <is>
          <t>평당50, 전의일반산단 5분, 전의역 5분거리</t>
        </is>
      </c>
      <c r="L2881" s="6">
        <f>HYPERLINK("https://fin.land.naver.com/articles/2654232245", "매물Link")</f>
        <v/>
      </c>
      <c r="M2881" s="6">
        <f>HYPERLINK("https://map.naver.com/p/search/전의면 신정리 산105-1", "지도Link")</f>
        <v/>
      </c>
      <c r="N2881" s="6">
        <f>HYPERLINK("http://www.eum.go.kr/web/ar/lu/luLandDet.jsp?pnu=3611037028201050001&amp;isNoScr=script&amp;mode=search", "토지이음")</f>
        <v/>
      </c>
      <c r="O2881" s="3" t="inlineStr">
        <is>
          <t>미스터홈즈강남지사</t>
        </is>
      </c>
      <c r="P2881" s="4" t="n">
        <v>1</v>
      </c>
      <c r="Q2881" s="4" t="n">
        <v>7608</v>
      </c>
      <c r="R2881" s="3" t="inlineStr">
        <is>
          <t>계획관리지역</t>
        </is>
      </c>
      <c r="S2881" s="3" t="inlineStr">
        <is>
          <t>자연림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신흥리 1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28000</v>
      </c>
      <c r="G2882" s="4" t="n">
        <v>418</v>
      </c>
      <c r="H2882" s="4" t="n">
        <v>126</v>
      </c>
      <c r="I2882" s="5" t="n">
        <v>222.2</v>
      </c>
      <c r="J2882" s="5" t="n">
        <v>8.699999999999999</v>
      </c>
      <c r="K2882" s="3" t="inlineStr">
        <is>
          <t>계획관리지역, 도로변 코너각지, 투자기회, 가격 잘 맞춰 보겠습니다</t>
        </is>
      </c>
      <c r="L2882" s="6">
        <f>HYPERLINK("https://fin.land.naver.com/articles/2653005053", "매물Link")</f>
        <v/>
      </c>
      <c r="M2882" s="6">
        <f>HYPERLINK("https://map.naver.com/p/search/전의면 신흥리 1", "지도Link")</f>
        <v/>
      </c>
      <c r="N2882" s="6">
        <f>HYPERLINK("http://www.eum.go.kr/web/ar/lu/luLandDet.jsp?pnu=3611037025100010000&amp;isNoScr=script&amp;mode=search", "토지이음")</f>
        <v/>
      </c>
      <c r="O2882" s="3" t="inlineStr">
        <is>
          <t>OK세종 사무소</t>
        </is>
      </c>
      <c r="P2882" s="4" t="n">
        <v>2</v>
      </c>
      <c r="Q2882" s="4" t="n">
        <v>418</v>
      </c>
      <c r="R2882" s="3" t="inlineStr">
        <is>
          <t>지정되지않음</t>
        </is>
      </c>
      <c r="S2882" s="3" t="inlineStr">
        <is>
          <t>도로등</t>
        </is>
      </c>
      <c r="T2882" s="3" t="inlineStr">
        <is>
          <t>평지</t>
        </is>
      </c>
      <c r="U2882" s="3" t="inlineStr">
        <is>
          <t>부정형</t>
        </is>
      </c>
      <c r="V2882" s="3" t="inlineStr">
        <is>
          <t>지정되지않음</t>
        </is>
      </c>
    </row>
    <row r="2883">
      <c r="A2883" s="3" t="inlineStr">
        <is>
          <t>전의면 신흥리 130-2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60000</v>
      </c>
      <c r="G2883" s="4" t="n">
        <v>856</v>
      </c>
      <c r="H2883" s="4" t="n">
        <v>259</v>
      </c>
      <c r="I2883" s="5" t="n">
        <v>231.7</v>
      </c>
      <c r="J2883" s="5" t="n">
        <v>50.7</v>
      </c>
      <c r="K2883" s="3" t="inlineStr">
        <is>
          <t>투자가치 좋은 계획관리 지역, 좋은기회</t>
        </is>
      </c>
      <c r="L2883" s="6">
        <f>HYPERLINK("https://fin.land.naver.com/articles/2651117615", "매물Link")</f>
        <v/>
      </c>
      <c r="M2883" s="6">
        <f>HYPERLINK("https://map.naver.com/p/search/전의면 신흥리 130-2", "지도Link")</f>
        <v/>
      </c>
      <c r="N2883" s="6">
        <f>HYPERLINK("http://www.eum.go.kr/web/ar/lu/luLandDet.jsp?pnu=3611037025101300002&amp;isNoScr=script&amp;mode=search", "토지이음")</f>
        <v/>
      </c>
      <c r="O2883" s="3" t="inlineStr">
        <is>
          <t>OK세종</t>
        </is>
      </c>
      <c r="P2883" s="4" t="n">
        <v>1</v>
      </c>
      <c r="Q2883" s="4" t="n">
        <v>856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신흥리 159-3</t>
        </is>
      </c>
      <c r="B2884" s="3" t="inlineStr">
        <is>
          <t>계획관리지역</t>
        </is>
      </c>
      <c r="C2884" s="3" t="inlineStr">
        <is>
          <t>대</t>
        </is>
      </c>
      <c r="D2884" s="3" t="inlineStr">
        <is>
          <t>대</t>
        </is>
      </c>
      <c r="E2884" s="3" t="inlineStr">
        <is>
          <t>매매</t>
        </is>
      </c>
      <c r="F2884" s="4" t="n">
        <v>38760</v>
      </c>
      <c r="G2884" s="4" t="n">
        <v>1068</v>
      </c>
      <c r="H2884" s="4" t="n">
        <v>323</v>
      </c>
      <c r="I2884" s="5" t="n">
        <v>120</v>
      </c>
      <c r="J2884" s="5" t="n">
        <v>42</v>
      </c>
      <c r="K2884" s="3" t="inlineStr">
        <is>
          <t>전의 면소재지 인접한 투자용 매물</t>
        </is>
      </c>
      <c r="L2884" s="6">
        <f>HYPERLINK("https://fin.land.naver.com/articles/2652096267", "매물Link")</f>
        <v/>
      </c>
      <c r="M2884" s="6">
        <f>HYPERLINK("https://map.naver.com/p/search/전의면 신흥리 159-3", "지도Link")</f>
        <v/>
      </c>
      <c r="N2884" s="6">
        <f>HYPERLINK("http://www.eum.go.kr/web/ar/lu/luLandDet.jsp?pnu=3611037025101590003&amp;isNoScr=script&amp;mode=search", "토지이음")</f>
        <v/>
      </c>
      <c r="O2884" s="3" t="inlineStr">
        <is>
          <t>지호주식회사</t>
        </is>
      </c>
      <c r="P2884" s="4" t="n">
        <v>1</v>
      </c>
      <c r="Q2884" s="4" t="n">
        <v>995</v>
      </c>
      <c r="R2884" s="3" t="inlineStr">
        <is>
          <t>지정되지않음</t>
        </is>
      </c>
      <c r="S2884" s="3" t="inlineStr">
        <is>
          <t>주거나지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전의면 신흥리 56</t>
        </is>
      </c>
      <c r="B2885" s="3" t="inlineStr">
        <is>
          <t>계획관리지역</t>
        </is>
      </c>
      <c r="C2885" s="3" t="inlineStr">
        <is>
          <t>답</t>
        </is>
      </c>
      <c r="D2885" s="3" t="inlineStr">
        <is>
          <t>답</t>
        </is>
      </c>
      <c r="E2885" s="3" t="inlineStr">
        <is>
          <t>매매</t>
        </is>
      </c>
      <c r="F2885" s="4" t="n">
        <v>160000</v>
      </c>
      <c r="G2885" s="4" t="n">
        <v>4111</v>
      </c>
      <c r="H2885" s="4" t="n">
        <v>1244</v>
      </c>
      <c r="I2885" s="5" t="n">
        <v>128.6</v>
      </c>
      <c r="J2885" s="5" t="n">
        <v>26.5</v>
      </c>
      <c r="K2885" s="3" t="inlineStr">
        <is>
          <t>농지은행 임대중 비닐하우스 7동 있음 하천옆 주변토지  불하가능</t>
        </is>
      </c>
      <c r="L2885" s="6">
        <f>HYPERLINK("https://fin.land.naver.com/articles/2654418656", "매물Link")</f>
        <v/>
      </c>
      <c r="M2885" s="6">
        <f>HYPERLINK("https://map.naver.com/p/search/전의면 신흥리 56", "지도Link")</f>
        <v/>
      </c>
      <c r="N2885" s="6">
        <f>HYPERLINK("http://www.eum.go.kr/web/ar/lu/luLandDet.jsp?pnu=3611037025100560000&amp;isNoScr=script&amp;mode=search", "토지이음")</f>
        <v/>
      </c>
      <c r="O2885" s="3" t="inlineStr">
        <is>
          <t>그래그</t>
        </is>
      </c>
      <c r="P2885" s="4" t="n">
        <v>1</v>
      </c>
      <c r="Q2885" s="4" t="n">
        <v>4111</v>
      </c>
      <c r="R2885" s="3" t="inlineStr">
        <is>
          <t>지정되지않음</t>
        </is>
      </c>
      <c r="S2885" s="3" t="inlineStr">
        <is>
          <t>답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맹지</t>
        </is>
      </c>
    </row>
    <row r="2886">
      <c r="A2886" s="3" t="inlineStr">
        <is>
          <t>전의면 신흥리 산3-1</t>
        </is>
      </c>
      <c r="B2886" s="3" t="inlineStr">
        <is>
          <t>계획관리지역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18000</v>
      </c>
      <c r="G2886" s="4" t="n">
        <v>1323</v>
      </c>
      <c r="H2886" s="4" t="n">
        <v>400</v>
      </c>
      <c r="I2886" s="5" t="n">
        <v>45</v>
      </c>
      <c r="J2886" s="5" t="n">
        <v>3.7</v>
      </c>
      <c r="K2886" s="3" t="inlineStr">
        <is>
          <t>급매  계획관리,지목상 도로 접함</t>
        </is>
      </c>
      <c r="L2886" s="6">
        <f>HYPERLINK("https://fin.land.naver.com/articles/2650917991", "매물Link")</f>
        <v/>
      </c>
      <c r="M2886" s="6">
        <f>HYPERLINK("https://map.naver.com/p/search/전의면 신흥리 산3-1", "지도Link")</f>
        <v/>
      </c>
      <c r="N2886" s="6">
        <f>HYPERLINK("http://www.eum.go.kr/web/ar/lu/luLandDet.jsp?pnu=3611037025200030001&amp;isNoScr=script&amp;mode=search", "토지이음")</f>
        <v/>
      </c>
      <c r="O2886" s="3" t="inlineStr">
        <is>
          <t>금강이편한</t>
        </is>
      </c>
      <c r="P2886" s="4" t="n">
        <v>1</v>
      </c>
      <c r="Q2886" s="4" t="n">
        <v>1323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급경사</t>
        </is>
      </c>
      <c r="U2886" s="3" t="inlineStr">
        <is>
          <t>사다리형</t>
        </is>
      </c>
      <c r="V2886" s="3" t="inlineStr">
        <is>
          <t>맹지</t>
        </is>
      </c>
    </row>
    <row r="2887">
      <c r="A2887" s="3" t="inlineStr">
        <is>
          <t>전의면 양곡리 207-4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47000</v>
      </c>
      <c r="G2887" s="4" t="n">
        <v>1041</v>
      </c>
      <c r="H2887" s="4" t="n">
        <v>315</v>
      </c>
      <c r="I2887" s="5" t="n">
        <v>149.2</v>
      </c>
      <c r="J2887" s="5" t="n">
        <v>43.5</v>
      </c>
      <c r="K2887" s="3" t="inlineStr">
        <is>
          <t>세종 전의면 계획관리지역 대지.  따뜻한 주거와 텃밭을 가꿀 수 있어요</t>
        </is>
      </c>
      <c r="L2887" s="6">
        <f>HYPERLINK("https://fin.land.naver.com/articles/2656386715", "매물Link")</f>
        <v/>
      </c>
      <c r="M2887" s="6">
        <f>HYPERLINK("https://map.naver.com/p/search/전의면 양곡리 207-4", "지도Link")</f>
        <v/>
      </c>
      <c r="N2887" s="6">
        <f>HYPERLINK("http://www.eum.go.kr/web/ar/lu/luLandDet.jsp?pnu=3611037032102070004&amp;isNoScr=script&amp;mode=search", "토지이음")</f>
        <v/>
      </c>
      <c r="O2887" s="3" t="inlineStr">
        <is>
          <t>OK파라곤</t>
        </is>
      </c>
      <c r="P2887" s="4" t="n">
        <v>1</v>
      </c>
      <c r="Q2887" s="4" t="n">
        <v>1041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세로한면(가)</t>
        </is>
      </c>
    </row>
    <row r="2888">
      <c r="A2888" s="3" t="inlineStr">
        <is>
          <t>전의면 양곡리 218-2</t>
        </is>
      </c>
      <c r="B2888" s="3" t="inlineStr">
        <is>
          <t>계획관리지역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10000</v>
      </c>
      <c r="G2888" s="4" t="n">
        <v>179</v>
      </c>
      <c r="H2888" s="4" t="n">
        <v>54</v>
      </c>
      <c r="I2888" s="5" t="n">
        <v>185.2</v>
      </c>
      <c r="J2888" s="5" t="n">
        <v>42.3</v>
      </c>
      <c r="K2888" s="3" t="inlineStr">
        <is>
          <t>급매. 세종시 1억원대 토지</t>
        </is>
      </c>
      <c r="L2888" s="6">
        <f>HYPERLINK("https://fin.land.naver.com/articles/2651926225", "매물Link")</f>
        <v/>
      </c>
      <c r="M2888" s="6">
        <f>HYPERLINK("https://map.naver.com/p/search/전의면 양곡리 218-2", "지도Link")</f>
        <v/>
      </c>
      <c r="N2888" s="6">
        <f>HYPERLINK("http://www.eum.go.kr/web/ar/lu/luLandDet.jsp?pnu=3611037032102180002&amp;isNoScr=script&amp;mode=search", "토지이음")</f>
        <v/>
      </c>
      <c r="O2888" s="3" t="inlineStr">
        <is>
          <t>강아지풀</t>
        </is>
      </c>
      <c r="P2888" s="4" t="n">
        <v>1</v>
      </c>
      <c r="Q2888" s="4" t="n">
        <v>179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세로한면(가)</t>
        </is>
      </c>
    </row>
    <row r="2889">
      <c r="A2889" s="3" t="inlineStr">
        <is>
          <t>전의면 양곡리 300-2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41000</v>
      </c>
      <c r="G2889" s="4" t="n">
        <v>2654</v>
      </c>
      <c r="H2889" s="4" t="n">
        <v>803</v>
      </c>
      <c r="I2889" s="5" t="n">
        <v>51.1</v>
      </c>
      <c r="J2889" s="5" t="n">
        <v>31.7</v>
      </c>
      <c r="K2889" s="3" t="inlineStr">
        <is>
          <t>세종미래산단 인근 계획관리지역 장기보유형 농지</t>
        </is>
      </c>
      <c r="L2889" s="6">
        <f>HYPERLINK("https://fin.land.naver.com/articles/2655067876", "매물Link")</f>
        <v/>
      </c>
      <c r="M2889" s="6">
        <f>HYPERLINK("https://map.naver.com/p/search/전의면 양곡리 300-2", "지도Link")</f>
        <v/>
      </c>
      <c r="N2889" s="6">
        <f>HYPERLINK("http://www.eum.go.kr/web/ar/lu/luLandDet.jsp?pnu=3611037032103000002&amp;isNoScr=script&amp;mode=search", "토지이음")</f>
        <v/>
      </c>
      <c r="O2889" s="3" t="inlineStr">
        <is>
          <t>세종소담황금</t>
        </is>
      </c>
      <c r="P2889" s="4" t="n">
        <v>1</v>
      </c>
      <c r="Q2889" s="4" t="n">
        <v>2655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양곡리 306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126400</v>
      </c>
      <c r="G2890" s="4" t="n">
        <v>2019</v>
      </c>
      <c r="H2890" s="4" t="n">
        <v>611</v>
      </c>
      <c r="I2890" s="5" t="n">
        <v>206.9</v>
      </c>
      <c r="J2890" s="5" t="n">
        <v>26</v>
      </c>
      <c r="K2890" s="3" t="inlineStr">
        <is>
          <t>세종시 전의면 양곡리 토지 매매 세종미래산업단지 앞 4차선접 2,019㎡</t>
        </is>
      </c>
      <c r="L2890" s="6">
        <f>HYPERLINK("https://fin.land.naver.com/articles/2650832779", "매물Link")</f>
        <v/>
      </c>
      <c r="M2890" s="6">
        <f>HYPERLINK("https://map.naver.com/p/search/전의면 양곡리 306", "지도Link")</f>
        <v/>
      </c>
      <c r="N2890" s="6">
        <f>HYPERLINK("http://www.eum.go.kr/web/ar/lu/luLandDet.jsp?pnu=3611037032103060000&amp;isNoScr=script&amp;mode=search", "토지이음")</f>
        <v/>
      </c>
      <c r="O2890" s="3" t="inlineStr">
        <is>
          <t>세종</t>
        </is>
      </c>
      <c r="P2890" s="4" t="n">
        <v>1</v>
      </c>
      <c r="Q2890" s="4" t="n">
        <v>2019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세로한면(불)</t>
        </is>
      </c>
    </row>
    <row r="2891">
      <c r="A2891" s="3" t="inlineStr">
        <is>
          <t>전의면 양곡리 368-2</t>
        </is>
      </c>
      <c r="B2891" s="3" t="inlineStr">
        <is>
          <t>생산관리지역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33000</v>
      </c>
      <c r="G2891" s="4" t="n">
        <v>1361</v>
      </c>
      <c r="H2891" s="4" t="n">
        <v>412</v>
      </c>
      <c r="I2891" s="5" t="n">
        <v>80.09999999999999</v>
      </c>
      <c r="J2891" s="5" t="n">
        <v>27.9</v>
      </c>
      <c r="K2891" s="3" t="inlineStr">
        <is>
          <t>nan</t>
        </is>
      </c>
      <c r="L2891" s="6">
        <f>HYPERLINK("https://fin.land.naver.com/articles/2651511445", "매물Link")</f>
        <v/>
      </c>
      <c r="M2891" s="6">
        <f>HYPERLINK("https://map.naver.com/p/search/전의면 양곡리 368-2", "지도Link")</f>
        <v/>
      </c>
      <c r="N2891" s="6">
        <f>HYPERLINK("http://www.eum.go.kr/web/ar/lu/luLandDet.jsp?pnu=3611037032103680002&amp;isNoScr=script&amp;mode=search", "토지이음")</f>
        <v/>
      </c>
      <c r="O2891" s="3" t="inlineStr">
        <is>
          <t>수자인</t>
        </is>
      </c>
      <c r="P2891" s="4" t="n">
        <v>1</v>
      </c>
      <c r="Q2891" s="4" t="n">
        <v>1361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양곡리 368-4</t>
        </is>
      </c>
      <c r="B2892" s="3" t="inlineStr">
        <is>
          <t>생산관리지역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6000</v>
      </c>
      <c r="G2892" s="4" t="n">
        <v>244</v>
      </c>
      <c r="H2892" s="4" t="n">
        <v>74</v>
      </c>
      <c r="I2892" s="5" t="n">
        <v>81.09999999999999</v>
      </c>
      <c r="J2892" s="5" t="n">
        <v>27.9</v>
      </c>
      <c r="K2892" s="3" t="inlineStr">
        <is>
          <t>소액으로 주말 농장, 농막. 상하수도 있음</t>
        </is>
      </c>
      <c r="L2892" s="6">
        <f>HYPERLINK("https://fin.land.naver.com/articles/2654002744", "매물Link")</f>
        <v/>
      </c>
      <c r="M2892" s="6">
        <f>HYPERLINK("https://map.naver.com/p/search/전의면 양곡리 368-4", "지도Link")</f>
        <v/>
      </c>
      <c r="N2892" s="6">
        <f>HYPERLINK("http://www.eum.go.kr/web/ar/lu/luLandDet.jsp?pnu=3611037032103680004&amp;isNoScr=script&amp;mode=search", "토지이음")</f>
        <v/>
      </c>
      <c r="O2892" s="3" t="inlineStr">
        <is>
          <t>세종이삭</t>
        </is>
      </c>
      <c r="P2892" s="4" t="n">
        <v>1</v>
      </c>
      <c r="Q2892" s="4" t="n">
        <v>244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양곡리 381-2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45000</v>
      </c>
      <c r="G2893" s="4" t="n">
        <v>1298</v>
      </c>
      <c r="H2893" s="4" t="n">
        <v>393</v>
      </c>
      <c r="I2893" s="5" t="n">
        <v>114.5</v>
      </c>
      <c r="J2893" s="5" t="n">
        <v>46.6</v>
      </c>
      <c r="K2893" s="3" t="inlineStr">
        <is>
          <t>세종시 2차선도로  계획관리 토지  시세대비 급 매매  가격조율</t>
        </is>
      </c>
      <c r="L2893" s="6">
        <f>HYPERLINK("https://fin.land.naver.com/articles/2650927977", "매물Link")</f>
        <v/>
      </c>
      <c r="M2893" s="6">
        <f>HYPERLINK("https://map.naver.com/p/search/전의면 양곡리 381-2", "지도Link")</f>
        <v/>
      </c>
      <c r="N2893" s="6">
        <f>HYPERLINK("http://www.eum.go.kr/web/ar/lu/luLandDet.jsp?pnu=3611037032103810002&amp;isNoScr=script&amp;mode=search", "토지이음")</f>
        <v/>
      </c>
      <c r="O2893" s="3" t="inlineStr">
        <is>
          <t>연서으뜸</t>
        </is>
      </c>
      <c r="P2893" s="4" t="n">
        <v>2</v>
      </c>
      <c r="Q2893" s="4" t="n">
        <v>648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소로한면</t>
        </is>
      </c>
    </row>
    <row r="2894">
      <c r="A2894" s="3" t="inlineStr">
        <is>
          <t>전의면 양곡리 381-2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45000</v>
      </c>
      <c r="G2894" s="4" t="n">
        <v>1296</v>
      </c>
      <c r="H2894" s="4" t="n">
        <v>392</v>
      </c>
      <c r="I2894" s="5" t="n">
        <v>114.8</v>
      </c>
      <c r="J2894" s="5" t="n">
        <v>46.6</v>
      </c>
      <c r="K2894" s="3" t="inlineStr">
        <is>
          <t>도로변 각지로 계획관리지역 개발 등 다양업 추천</t>
        </is>
      </c>
      <c r="L2894" s="6">
        <f>HYPERLINK("https://fin.land.naver.com/articles/2655257474", "매물Link")</f>
        <v/>
      </c>
      <c r="M2894" s="6">
        <f>HYPERLINK("https://map.naver.com/p/search/전의면 양곡리 381-2", "지도Link")</f>
        <v/>
      </c>
      <c r="N2894" s="6">
        <f>HYPERLINK("http://www.eum.go.kr/web/ar/lu/luLandDet.jsp?pnu=3611037032103810002&amp;isNoScr=script&amp;mode=search", "토지이음")</f>
        <v/>
      </c>
      <c r="O2894" s="3" t="inlineStr">
        <is>
          <t>이서방</t>
        </is>
      </c>
      <c r="P2894" s="4" t="n">
        <v>1</v>
      </c>
      <c r="Q2894" s="4" t="n">
        <v>648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전의면 양곡리 40-5</t>
        </is>
      </c>
      <c r="B2895" s="3" t="inlineStr">
        <is>
          <t>생산관리지역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30000</v>
      </c>
      <c r="G2895" s="4" t="n">
        <v>1058</v>
      </c>
      <c r="H2895" s="4" t="n">
        <v>320</v>
      </c>
      <c r="I2895" s="5" t="n">
        <v>93.8</v>
      </c>
      <c r="J2895" s="5" t="n">
        <v>23.4</v>
      </c>
      <c r="K2895" s="3" t="inlineStr">
        <is>
          <t>도시 인접 생산관리 농지. 주택지로도 좋아요</t>
        </is>
      </c>
      <c r="L2895" s="6">
        <f>HYPERLINK("https://fin.land.naver.com/articles/2651151465", "매물Link")</f>
        <v/>
      </c>
      <c r="M2895" s="6">
        <f>HYPERLINK("https://map.naver.com/p/search/전의면 양곡리 40-5", "지도Link")</f>
        <v/>
      </c>
      <c r="N2895" s="6">
        <f>HYPERLINK("http://www.eum.go.kr/web/ar/lu/luLandDet.jsp?pnu=3611037032100400005&amp;isNoScr=script&amp;mode=search",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1058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양곡리 40-5</t>
        </is>
      </c>
      <c r="B2896" s="3" t="inlineStr">
        <is>
          <t>생산관리지역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30000</v>
      </c>
      <c r="G2896" s="4" t="n">
        <v>1057</v>
      </c>
      <c r="H2896" s="4" t="n">
        <v>320</v>
      </c>
      <c r="I2896" s="5" t="n">
        <v>93.8</v>
      </c>
      <c r="J2896" s="5" t="n">
        <v>23.4</v>
      </c>
      <c r="K2896" s="3" t="inlineStr">
        <is>
          <t>세종시 전의면 양곡리 농막과 유실수 포함 토지 매매</t>
        </is>
      </c>
      <c r="L2896" s="6">
        <f>HYPERLINK("https://fin.land.naver.com/articles/2652805726", "매물Link")</f>
        <v/>
      </c>
      <c r="M2896" s="6">
        <f>HYPERLINK("https://map.naver.com/p/search/전의면 양곡리 40-5", "지도Link")</f>
        <v/>
      </c>
      <c r="N2896" s="6">
        <f>HYPERLINK("http://www.eum.go.kr/web/ar/lu/luLandDet.jsp?pnu=3611037032100400005&amp;isNoScr=script&amp;mode=search", "토지이음")</f>
        <v/>
      </c>
      <c r="O2896" s="3" t="inlineStr">
        <is>
          <t>뉴스카이</t>
        </is>
      </c>
      <c r="P2896" s="4" t="n">
        <v>1</v>
      </c>
      <c r="Q2896" s="4" t="n">
        <v>1058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양곡리 573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70000</v>
      </c>
      <c r="G2897" s="4" t="n">
        <v>954</v>
      </c>
      <c r="H2897" s="4" t="n">
        <v>289</v>
      </c>
      <c r="I2897" s="5" t="n">
        <v>242.2</v>
      </c>
      <c r="J2897" s="5" t="n">
        <v>124.6</v>
      </c>
      <c r="K2897" s="3" t="inlineStr">
        <is>
          <t>대로변 광고효과 좋음,  미래산업단지 지원용지 ,  투자추천</t>
        </is>
      </c>
      <c r="L2897" s="6">
        <f>HYPERLINK("https://fin.land.naver.com/articles/2652607353", "매물Link")</f>
        <v/>
      </c>
      <c r="M2897" s="6">
        <f>HYPERLINK("https://map.naver.com/p/search/전의면 양곡리 573", "지도Link")</f>
        <v/>
      </c>
      <c r="N2897" s="6">
        <f>HYPERLINK("http://www.eum.go.kr/web/ar/lu/luLandDet.jsp?pnu=3611037032105730000&amp;isNoScr=script&amp;mode=search", "토지이음")</f>
        <v/>
      </c>
      <c r="O2897" s="3" t="inlineStr">
        <is>
          <t>세종보물</t>
        </is>
      </c>
      <c r="P2897" s="4" t="n">
        <v>1</v>
      </c>
      <c r="Q2897" s="4" t="n">
        <v>954.6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정방형</t>
        </is>
      </c>
      <c r="V2897" s="3" t="inlineStr">
        <is>
          <t>중로한면</t>
        </is>
      </c>
    </row>
    <row r="2898">
      <c r="A2898" s="3" t="inlineStr">
        <is>
          <t>전의면 영당리 11-4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9700</v>
      </c>
      <c r="G2898" s="4" t="n">
        <v>320</v>
      </c>
      <c r="H2898" s="4" t="n">
        <v>97</v>
      </c>
      <c r="I2898" s="5" t="n">
        <v>100</v>
      </c>
      <c r="J2898" s="5" t="n">
        <v>22.6</v>
      </c>
      <c r="K2898" s="3" t="inlineStr">
        <is>
          <t>nan</t>
        </is>
      </c>
      <c r="L2898" s="6">
        <f>HYPERLINK("https://fin.land.naver.com/articles/2654422055", "매물Link")</f>
        <v/>
      </c>
      <c r="M2898" s="6">
        <f>HYPERLINK("https://map.naver.com/p/search/전의면 영당리 11-4", "지도Link")</f>
        <v/>
      </c>
      <c r="N2898" s="6">
        <f>HYPERLINK("http://www.eum.go.kr/web/ar/lu/luLandDet.jsp?pnu=3611037031100110004&amp;isNoScr=script&amp;mode=search", "토지이음")</f>
        <v/>
      </c>
      <c r="O2898" s="3" t="inlineStr">
        <is>
          <t>그래그</t>
        </is>
      </c>
      <c r="P2898" s="4" t="n">
        <v>1</v>
      </c>
      <c r="Q2898" s="4" t="n">
        <v>320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영당리 118-1</t>
        </is>
      </c>
      <c r="B2899" s="3" t="inlineStr">
        <is>
          <t>계획관리지역</t>
        </is>
      </c>
      <c r="C2899" s="3" t="inlineStr">
        <is>
          <t>공장용지</t>
        </is>
      </c>
      <c r="D2899" s="3" t="inlineStr">
        <is>
          <t>공장용지</t>
        </is>
      </c>
      <c r="E2899" s="3" t="inlineStr">
        <is>
          <t>매매</t>
        </is>
      </c>
      <c r="F2899" s="4" t="n">
        <v>85000</v>
      </c>
      <c r="G2899" s="4" t="n">
        <v>1894</v>
      </c>
      <c r="H2899" s="4" t="n">
        <v>573</v>
      </c>
      <c r="I2899" s="5" t="n">
        <v>148.3</v>
      </c>
      <c r="J2899" s="5" t="n">
        <v>39.2</v>
      </c>
      <c r="K2899" s="3" t="inlineStr">
        <is>
          <t>전의면 영당리 계획관리 공장용지, 6m 도로 접, 주변 산업단지 개발</t>
        </is>
      </c>
      <c r="L2899" s="6">
        <f>HYPERLINK("https://fin.land.naver.com/articles/2654029266", "매물Link")</f>
        <v/>
      </c>
      <c r="M2899" s="6">
        <f>HYPERLINK("https://map.naver.com/p/search/전의면 영당리 118-1", "지도Link")</f>
        <v/>
      </c>
      <c r="N2899" s="6">
        <f>HYPERLINK("http://www.eum.go.kr/web/ar/lu/luLandDet.jsp?pnu=3611037031101180001&amp;isNoScr=script&amp;mode=search", "토지이음")</f>
        <v/>
      </c>
      <c r="O2899" s="3" t="inlineStr">
        <is>
          <t>스카이</t>
        </is>
      </c>
      <c r="P2899" s="4" t="n">
        <v>1</v>
      </c>
      <c r="Q2899" s="4" t="n">
        <v>1795</v>
      </c>
      <c r="R2899" s="3" t="inlineStr">
        <is>
          <t>지정되지않음</t>
        </is>
      </c>
      <c r="S2899" s="3" t="inlineStr">
        <is>
          <t>공업나지</t>
        </is>
      </c>
      <c r="T2899" s="3" t="inlineStr">
        <is>
          <t>완경사</t>
        </is>
      </c>
      <c r="U2899" s="3" t="inlineStr">
        <is>
          <t>사다리형</t>
        </is>
      </c>
      <c r="V2899" s="3" t="inlineStr">
        <is>
          <t>세로한면(가)</t>
        </is>
      </c>
    </row>
    <row r="2900">
      <c r="A2900" s="3" t="inlineStr">
        <is>
          <t>전의면 영당리 40-6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29700</v>
      </c>
      <c r="G2900" s="4" t="n">
        <v>838</v>
      </c>
      <c r="H2900" s="4" t="n">
        <v>253</v>
      </c>
      <c r="I2900" s="5" t="n">
        <v>117.4</v>
      </c>
      <c r="J2900" s="5" t="n">
        <v>30</v>
      </c>
      <c r="K2900" s="3" t="inlineStr">
        <is>
          <t>전원주택지 계획관리 전. 전용 711m</t>
        </is>
      </c>
      <c r="L2900" s="6">
        <f>HYPERLINK("https://fin.land.naver.com/articles/2654228177", "매물Link")</f>
        <v/>
      </c>
      <c r="M2900" s="6">
        <f>HYPERLINK("https://map.naver.com/p/search/전의면 영당리 40-6", "지도Link")</f>
        <v/>
      </c>
      <c r="N2900" s="6">
        <f>HYPERLINK("http://www.eum.go.kr/web/ar/lu/luLandDet.jsp?pnu=3611037031100400006&amp;isNoScr=script&amp;mode=search", "토지이음")</f>
        <v/>
      </c>
      <c r="O2900" s="3" t="inlineStr">
        <is>
          <t>미스터홈즈강남지사</t>
        </is>
      </c>
      <c r="P2900" s="4" t="n">
        <v>1</v>
      </c>
      <c r="Q2900" s="4" t="n">
        <v>711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영당리 43-1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37700</v>
      </c>
      <c r="G2901" s="4" t="n">
        <v>949</v>
      </c>
      <c r="H2901" s="4" t="n">
        <v>287</v>
      </c>
      <c r="I2901" s="5" t="n">
        <v>131.4</v>
      </c>
      <c r="J2901" s="5" t="n">
        <v>60.4</v>
      </c>
      <c r="K2901" s="3" t="inlineStr">
        <is>
          <t>nan</t>
        </is>
      </c>
      <c r="L2901" s="6">
        <f>HYPERLINK("https://fin.land.naver.com/articles/2654242099", "매물Link")</f>
        <v/>
      </c>
      <c r="M2901" s="6">
        <f>HYPERLINK("https://map.naver.com/p/search/전의면 영당리 43-1", "지도Link")</f>
        <v/>
      </c>
      <c r="N2901" s="6">
        <f>HYPERLINK("http://www.eum.go.kr/web/ar/lu/luLandDet.jsp?pnu=3611037031100430001&amp;isNoScr=script&amp;mode=search",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596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영당리 81-3</t>
        </is>
      </c>
      <c r="B2902" s="3" t="inlineStr">
        <is>
          <t>계획관리지역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210900</v>
      </c>
      <c r="G2902" s="4" t="n">
        <v>3486</v>
      </c>
      <c r="H2902" s="4" t="n">
        <v>1055</v>
      </c>
      <c r="I2902" s="5" t="n">
        <v>199.9</v>
      </c>
      <c r="J2902" s="5" t="n">
        <v>20.3</v>
      </c>
      <c r="K2902" s="3" t="inlineStr">
        <is>
          <t>nan</t>
        </is>
      </c>
      <c r="L2902" s="6">
        <f>HYPERLINK("https://fin.land.naver.com/articles/2655744379", "매물Link")</f>
        <v/>
      </c>
      <c r="M2902" s="6">
        <f>HYPERLINK("https://map.naver.com/p/search/전의면 영당리 81-3", "지도Link")</f>
        <v/>
      </c>
      <c r="N2902" s="6">
        <f>HYPERLINK("http://www.eum.go.kr/web/ar/lu/luLandDet.jsp?pnu=3611037031100810003&amp;isNoScr=script&amp;mode=search", "토지이음")</f>
        <v/>
      </c>
      <c r="O2902" s="3" t="inlineStr">
        <is>
          <t>신안무소</t>
        </is>
      </c>
      <c r="P2902" s="4" t="n">
        <v>1</v>
      </c>
      <c r="Q2902" s="4" t="n">
        <v>666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부정형</t>
        </is>
      </c>
      <c r="V2902" s="3" t="inlineStr">
        <is>
          <t>맹지</t>
        </is>
      </c>
    </row>
    <row r="2903">
      <c r="A2903" s="3" t="inlineStr">
        <is>
          <t>전의면 원성리 103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55500</v>
      </c>
      <c r="G2903" s="4" t="n">
        <v>3055</v>
      </c>
      <c r="H2903" s="4" t="n">
        <v>924</v>
      </c>
      <c r="I2903" s="5" t="n">
        <v>60.1</v>
      </c>
      <c r="J2903" s="5" t="n">
        <v>38.1</v>
      </c>
      <c r="K2903" s="3" t="inlineStr">
        <is>
          <t>1번국도, 전의역 가까운지역이며, 서울세종간고속도로5km반경</t>
        </is>
      </c>
      <c r="L2903" s="6">
        <f>HYPERLINK("https://fin.land.naver.com/articles/2652117485", "매물Link")</f>
        <v/>
      </c>
      <c r="M2903" s="6">
        <f>HYPERLINK("https://map.naver.com/p/search/전의면 원성리 103", "지도Link")</f>
        <v/>
      </c>
      <c r="N2903" s="6">
        <f>HYPERLINK("http://www.eum.go.kr/web/ar/lu/luLandDet.jsp?pnu=3611037024101030000&amp;isNoScr=script&amp;mode=search", "토지이음")</f>
        <v/>
      </c>
      <c r="O2903" s="3" t="inlineStr">
        <is>
          <t>미스터홈즈강남지사</t>
        </is>
      </c>
      <c r="P2903" s="4" t="n">
        <v>2</v>
      </c>
      <c r="Q2903" s="4" t="n">
        <v>3055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원성리 164-2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71000</v>
      </c>
      <c r="G2904" s="4" t="n">
        <v>1955</v>
      </c>
      <c r="H2904" s="4" t="n">
        <v>591</v>
      </c>
      <c r="I2904" s="5" t="n">
        <v>120.1</v>
      </c>
      <c r="J2904" s="5" t="n">
        <v>38.1</v>
      </c>
      <c r="K2904" s="3" t="inlineStr">
        <is>
          <t>전의역 부근 계획관리지역 토지</t>
        </is>
      </c>
      <c r="L2904" s="6">
        <f>HYPERLINK("https://fin.land.naver.com/articles/2652534978", "매물Link")</f>
        <v/>
      </c>
      <c r="M2904" s="6">
        <f>HYPERLINK("https://map.naver.com/p/search/전의면 원성리 164-2", "지도Link")</f>
        <v/>
      </c>
      <c r="N2904" s="6">
        <f>HYPERLINK("http://www.eum.go.kr/web/ar/lu/luLandDet.jsp?pnu=3611037024101640002&amp;isNoScr=script&amp;mode=search", "토지이음")</f>
        <v/>
      </c>
      <c r="O2904" s="3" t="inlineStr">
        <is>
          <t>우림</t>
        </is>
      </c>
      <c r="P2904" s="4" t="n">
        <v>1</v>
      </c>
      <c r="Q2904" s="4" t="n">
        <v>1955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원성리 176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45000</v>
      </c>
      <c r="G2905" s="4" t="n">
        <v>2171</v>
      </c>
      <c r="H2905" s="4" t="n">
        <v>657</v>
      </c>
      <c r="I2905" s="5" t="n">
        <v>68.5</v>
      </c>
      <c r="J2905" s="5" t="n">
        <v>34</v>
      </c>
      <c r="K2905" s="3" t="inlineStr">
        <is>
          <t>도로접한 계획관리 매매</t>
        </is>
      </c>
      <c r="L2905" s="6">
        <f>HYPERLINK("https://fin.land.naver.com/articles/2650931337", "매물Link")</f>
        <v/>
      </c>
      <c r="M2905" s="6">
        <f>HYPERLINK("https://map.naver.com/p/search/전의면 원성리 176", "지도Link")</f>
        <v/>
      </c>
      <c r="N2905" s="6">
        <f>HYPERLINK("http://www.eum.go.kr/web/ar/lu/luLandDet.jsp?pnu=3611037024101760000&amp;isNoScr=script&amp;mode=search", "토지이음")</f>
        <v/>
      </c>
      <c r="O2905" s="3" t="inlineStr">
        <is>
          <t>태양</t>
        </is>
      </c>
      <c r="P2905" s="4" t="n">
        <v>1</v>
      </c>
      <c r="Q2905" s="4" t="n">
        <v>2171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원성리 244</t>
        </is>
      </c>
      <c r="B2906" s="3" t="inlineStr">
        <is>
          <t>보전관리지역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26000</v>
      </c>
      <c r="G2906" s="4" t="n">
        <v>1673</v>
      </c>
      <c r="H2906" s="4" t="n">
        <v>506</v>
      </c>
      <c r="I2906" s="5" t="n">
        <v>51.4</v>
      </c>
      <c r="J2906" s="5" t="n">
        <v>7.6</v>
      </c>
      <c r="K2906" s="3" t="inlineStr">
        <is>
          <t>양봉업자최적토지 아카시아꿀 밀원 토지 매매</t>
        </is>
      </c>
      <c r="L2906" s="6">
        <f>HYPERLINK("https://fin.land.naver.com/articles/2654666002", "매물Link")</f>
        <v/>
      </c>
      <c r="M2906" s="6">
        <f>HYPERLINK("https://map.naver.com/p/search/전의면 원성리 244", "지도Link")</f>
        <v/>
      </c>
      <c r="N2906" s="6">
        <f>HYPERLINK("http://www.eum.go.kr/web/ar/lu/luLandDet.jsp?pnu=3611037024102440000&amp;isNoScr=script&amp;mode=search", "토지이음")</f>
        <v/>
      </c>
      <c r="O2906" s="3" t="inlineStr">
        <is>
          <t>도담</t>
        </is>
      </c>
      <c r="P2906" s="4" t="n">
        <v>1</v>
      </c>
      <c r="Q2906" s="4" t="n">
        <v>1673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전의면 원성리 산1-11</t>
        </is>
      </c>
      <c r="B2907" s="3" t="inlineStr">
        <is>
          <t>농림지역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105000</v>
      </c>
      <c r="G2907" s="4" t="n">
        <v>113193</v>
      </c>
      <c r="H2907" s="4" t="n">
        <v>34241</v>
      </c>
      <c r="I2907" s="5" t="n">
        <v>3.1</v>
      </c>
      <c r="J2907" s="5" t="n">
        <v>4.4</v>
      </c>
      <c r="K2907" s="3" t="inlineStr">
        <is>
          <t>nan</t>
        </is>
      </c>
      <c r="L2907" s="6">
        <f>HYPERLINK("https://fin.land.naver.com/articles/2655878783", "매물Link")</f>
        <v/>
      </c>
      <c r="M2907" s="6">
        <f>HYPERLINK("https://map.naver.com/p/search/전의면 원성리 산1-11", "지도Link")</f>
        <v/>
      </c>
      <c r="N2907" s="6">
        <f>HYPERLINK("http://www.eum.go.kr/web/ar/lu/luLandDet.jsp?pnu=3611037024200010011&amp;isNoScr=script&amp;mode=search", "토지이음")</f>
        <v/>
      </c>
      <c r="O2907" s="3" t="inlineStr">
        <is>
          <t>이서방</t>
        </is>
      </c>
      <c r="P2907" s="4" t="n">
        <v>1</v>
      </c>
      <c r="Q2907" s="4" t="n">
        <v>73682</v>
      </c>
      <c r="R2907" s="3" t="inlineStr">
        <is>
          <t>보전관리지역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맹지</t>
        </is>
      </c>
    </row>
    <row r="2908">
      <c r="A2908" s="3" t="inlineStr">
        <is>
          <t>전의면 원성리 산21-12</t>
        </is>
      </c>
      <c r="B2908" s="3" t="inlineStr">
        <is>
          <t>계획관리지역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36000</v>
      </c>
      <c r="G2908" s="4" t="n">
        <v>1765</v>
      </c>
      <c r="H2908" s="4" t="n">
        <v>534</v>
      </c>
      <c r="I2908" s="5" t="n">
        <v>67.40000000000001</v>
      </c>
      <c r="J2908" s="5" t="n">
        <v>4.6</v>
      </c>
      <c r="K2908" s="3" t="inlineStr">
        <is>
          <t>투자용, 전의역세권 토지, 산업단지인근, 2차선도로 인접</t>
        </is>
      </c>
      <c r="L2908" s="6">
        <f>HYPERLINK("https://fin.land.naver.com/articles/2653295874", "매물Link")</f>
        <v/>
      </c>
      <c r="M2908" s="6">
        <f>HYPERLINK("https://map.naver.com/p/search/전의면 원성리 산21-12", "지도Link")</f>
        <v/>
      </c>
      <c r="N2908" s="6">
        <f>HYPERLINK("http://www.eum.go.kr/web/ar/lu/luLandDet.jsp?pnu=3611037024200210012&amp;isNoScr=script&amp;mode=search", "토지이음")</f>
        <v/>
      </c>
      <c r="O2908" s="3" t="inlineStr">
        <is>
          <t>세종공감</t>
        </is>
      </c>
      <c r="P2908" s="4" t="n">
        <v>1</v>
      </c>
      <c r="Q2908" s="4" t="n">
        <v>1765</v>
      </c>
      <c r="R2908" s="3" t="inlineStr">
        <is>
          <t>농림지역</t>
        </is>
      </c>
      <c r="S2908" s="3" t="inlineStr">
        <is>
          <t>자연림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소로한면</t>
        </is>
      </c>
    </row>
    <row r="2909">
      <c r="A2909" s="3" t="inlineStr">
        <is>
          <t>전의면 유천리 110-1</t>
        </is>
      </c>
      <c r="B2909" s="3" t="inlineStr">
        <is>
          <t>계획관리지역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21000</v>
      </c>
      <c r="G2909" s="4" t="n">
        <v>1653</v>
      </c>
      <c r="H2909" s="4" t="n">
        <v>500</v>
      </c>
      <c r="I2909" s="5" t="n">
        <v>42</v>
      </c>
      <c r="J2909" s="5" t="n">
        <v>14.3</v>
      </c>
      <c r="K2909" s="3" t="inlineStr">
        <is>
          <t>nan</t>
        </is>
      </c>
      <c r="L2909" s="6">
        <f>HYPERLINK("https://fin.land.naver.com/articles/2656217908", "매물Link")</f>
        <v/>
      </c>
      <c r="M2909" s="6">
        <f>HYPERLINK("https://map.naver.com/p/search/전의면 유천리 110-1", "지도Link")</f>
        <v/>
      </c>
      <c r="N2909" s="6">
        <f>HYPERLINK("http://www.eum.go.kr/web/ar/lu/luLandDet.jsp?pnu=3611037026101100001&amp;isNoScr=script&amp;mode=search", "토지이음")</f>
        <v/>
      </c>
      <c r="O2909" s="3" t="inlineStr">
        <is>
          <t>북세종</t>
        </is>
      </c>
      <c r="P2909" s="4" t="n">
        <v>2</v>
      </c>
      <c r="Q2909" s="4" t="n">
        <v>1653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유천리 110-1</t>
        </is>
      </c>
      <c r="B2910" s="3" t="inlineStr">
        <is>
          <t>계획관리지역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16000</v>
      </c>
      <c r="G2910" s="4" t="n">
        <v>1653</v>
      </c>
      <c r="H2910" s="4" t="n">
        <v>500</v>
      </c>
      <c r="I2910" s="5" t="n">
        <v>32</v>
      </c>
      <c r="J2910" s="5" t="n">
        <v>14.3</v>
      </c>
      <c r="K2910" s="3" t="inlineStr">
        <is>
          <t>소규모창고 및 주말농장</t>
        </is>
      </c>
      <c r="L2910" s="6">
        <f>HYPERLINK("https://fin.land.naver.com/articles/2652854212", "매물Link")</f>
        <v/>
      </c>
      <c r="M2910" s="6">
        <f>HYPERLINK("https://map.naver.com/p/search/전의면 유천리 110-1", "지도Link")</f>
        <v/>
      </c>
      <c r="N2910" s="6">
        <f>HYPERLINK("http://www.eum.go.kr/web/ar/lu/luLandDet.jsp?pnu=3611037026101100001&amp;isNoScr=script&amp;mode=search", "토지이음")</f>
        <v/>
      </c>
      <c r="O2910" s="3" t="inlineStr">
        <is>
          <t>엘지에스케이</t>
        </is>
      </c>
      <c r="P2910" s="4" t="n">
        <v>1</v>
      </c>
      <c r="Q2910" s="4" t="n">
        <v>1653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유천리 296</t>
        </is>
      </c>
      <c r="B2911" s="3" t="inlineStr">
        <is>
          <t>계획관리지역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25000</v>
      </c>
      <c r="G2911" s="4" t="n">
        <v>1177</v>
      </c>
      <c r="H2911" s="4" t="n">
        <v>356</v>
      </c>
      <c r="I2911" s="5" t="n">
        <v>70.2</v>
      </c>
      <c r="J2911" s="5" t="n">
        <v>25.3</v>
      </c>
      <c r="K2911" s="3" t="inlineStr">
        <is>
          <t>전기,수도 모두 인입된 대지와 답</t>
        </is>
      </c>
      <c r="L2911" s="6">
        <f>HYPERLINK("https://fin.land.naver.com/articles/2652039538", "매물Link")</f>
        <v/>
      </c>
      <c r="M2911" s="6">
        <f>HYPERLINK("https://map.naver.com/p/search/전의면 유천리 296", "지도Link")</f>
        <v/>
      </c>
      <c r="N2911" s="6">
        <f>HYPERLINK("http://www.eum.go.kr/web/ar/lu/luLandDet.jsp?pnu=3611037026102960000&amp;isNoScr=script&amp;mode=search", "토지이음")</f>
        <v/>
      </c>
      <c r="O2911" s="3" t="inlineStr">
        <is>
          <t>미스터홈즈강남지사</t>
        </is>
      </c>
      <c r="P2911" s="4" t="n">
        <v>1</v>
      </c>
      <c r="Q2911" s="4" t="n">
        <v>630</v>
      </c>
      <c r="R2911" s="3" t="inlineStr">
        <is>
          <t>지정되지않음</t>
        </is>
      </c>
      <c r="S2911" s="3" t="inlineStr">
        <is>
          <t>단독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유천리 303-4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55800</v>
      </c>
      <c r="G2912" s="4" t="n">
        <v>1230</v>
      </c>
      <c r="H2912" s="4" t="n">
        <v>372</v>
      </c>
      <c r="I2912" s="5" t="n">
        <v>150</v>
      </c>
      <c r="J2912" s="5" t="n">
        <v>34.3</v>
      </c>
      <c r="K2912" s="3" t="inlineStr">
        <is>
          <t>세종에머슨cc 입구로 도로접한 각지, 창고나  음식점 추천합니다</t>
        </is>
      </c>
      <c r="L2912" s="6">
        <f>HYPERLINK("https://fin.land.naver.com/articles/2654445650", "매물Link")</f>
        <v/>
      </c>
      <c r="M2912" s="6">
        <f>HYPERLINK("https://map.naver.com/p/search/전의면 유천리 303-4", "지도Link")</f>
        <v/>
      </c>
      <c r="N2912" s="6">
        <f>HYPERLINK("http://www.eum.go.kr/web/ar/lu/luLandDet.jsp?pnu=3611037026103030004&amp;isNoScr=script&amp;mode=search", "토지이음")</f>
        <v/>
      </c>
      <c r="O2912" s="3" t="inlineStr">
        <is>
          <t>세종새롬</t>
        </is>
      </c>
      <c r="P2912" s="4" t="n">
        <v>1</v>
      </c>
      <c r="Q2912" s="4" t="n">
        <v>1230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전의면 유천리 372-1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1000000</v>
      </c>
      <c r="G2913" s="4" t="n">
        <v>2120</v>
      </c>
      <c r="H2913" s="4" t="n">
        <v>641</v>
      </c>
      <c r="I2913" s="5" t="n">
        <v>1560.1</v>
      </c>
      <c r="J2913" s="5" t="n">
        <v>52</v>
      </c>
      <c r="K2913" s="3" t="inlineStr">
        <is>
          <t>세종 땅 투자할분 추천</t>
        </is>
      </c>
      <c r="L2913" s="6">
        <f>HYPERLINK("https://fin.land.naver.com/articles/2656399599", "매물Link")</f>
        <v/>
      </c>
      <c r="M2913" s="6">
        <f>HYPERLINK("https://map.naver.com/p/search/전의면 유천리 372-1", "지도Link")</f>
        <v/>
      </c>
      <c r="N2913" s="6">
        <f>HYPERLINK("http://www.eum.go.kr/web/ar/lu/luLandDet.jsp?pnu=3611037026103720001&amp;isNoScr=script&amp;mode=search", "토지이음")</f>
        <v/>
      </c>
      <c r="O2913" s="3" t="inlineStr">
        <is>
          <t>신도시</t>
        </is>
      </c>
      <c r="P2913" s="4" t="n">
        <v>1</v>
      </c>
      <c r="Q2913" s="4" t="n">
        <v>2120</v>
      </c>
      <c r="R2913" s="3" t="inlineStr">
        <is>
          <t>지정되지않음</t>
        </is>
      </c>
      <c r="S2913" s="3" t="inlineStr">
        <is>
          <t>공업용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전의면 유천리 384</t>
        </is>
      </c>
      <c r="B2914" s="3" t="inlineStr">
        <is>
          <t>농림지역</t>
        </is>
      </c>
      <c r="C2914" s="3" t="inlineStr">
        <is>
          <t>답</t>
        </is>
      </c>
      <c r="D2914" s="3" t="inlineStr">
        <is>
          <t>답</t>
        </is>
      </c>
      <c r="E2914" s="3" t="inlineStr">
        <is>
          <t>매매</t>
        </is>
      </c>
      <c r="F2914" s="4" t="n">
        <v>26000</v>
      </c>
      <c r="G2914" s="4" t="n">
        <v>2840</v>
      </c>
      <c r="H2914" s="4" t="n">
        <v>859</v>
      </c>
      <c r="I2914" s="5" t="n">
        <v>30.3</v>
      </c>
      <c r="J2914" s="5" t="n">
        <v>12</v>
      </c>
      <c r="K2914" s="3" t="inlineStr">
        <is>
          <t>생명나무, 1번국도 접한 땅 노출 좋아요</t>
        </is>
      </c>
      <c r="L2914" s="6">
        <f>HYPERLINK("https://fin.land.naver.com/articles/2655859213", "매물Link")</f>
        <v/>
      </c>
      <c r="M2914" s="6">
        <f>HYPERLINK("https://map.naver.com/p/search/전의면 유천리 384", "지도Link")</f>
        <v/>
      </c>
      <c r="N2914" s="6">
        <f>HYPERLINK("http://www.eum.go.kr/web/ar/lu/luLandDet.jsp?pnu=3611037026103840000&amp;isNoScr=script&amp;mode=search", "토지이음")</f>
        <v/>
      </c>
      <c r="O2914" s="3" t="inlineStr">
        <is>
          <t>생명나무</t>
        </is>
      </c>
      <c r="P2914" s="4" t="n">
        <v>1</v>
      </c>
      <c r="Q2914" s="4" t="n">
        <v>1421</v>
      </c>
      <c r="R2914" s="3" t="inlineStr">
        <is>
          <t>지정되지않음</t>
        </is>
      </c>
      <c r="S2914" s="3" t="inlineStr">
        <is>
          <t>답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유천리 392-1</t>
        </is>
      </c>
      <c r="B2915" s="3" t="inlineStr">
        <is>
          <t>농림지역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16400</v>
      </c>
      <c r="G2915" s="4" t="n">
        <v>1352</v>
      </c>
      <c r="H2915" s="4" t="n">
        <v>409</v>
      </c>
      <c r="I2915" s="5" t="n">
        <v>40.1</v>
      </c>
      <c r="J2915" s="5" t="n">
        <v>15.5</v>
      </c>
      <c r="K2915" s="3" t="inlineStr">
        <is>
          <t>남풍세IC 접근성 좋은 포장농로 접 평탄 농지</t>
        </is>
      </c>
      <c r="L2915" s="6">
        <f>HYPERLINK("https://fin.land.naver.com/articles/2655065533", "매물Link")</f>
        <v/>
      </c>
      <c r="M2915" s="6">
        <f>HYPERLINK("https://map.naver.com/p/search/전의면 유천리 392-1", "지도Link")</f>
        <v/>
      </c>
      <c r="N2915" s="6">
        <f>HYPERLINK("http://www.eum.go.kr/web/ar/lu/luLandDet.jsp?pnu=3611037026103920001&amp;isNoScr=script&amp;mode=search", "토지이음")</f>
        <v/>
      </c>
      <c r="O2915" s="3" t="inlineStr">
        <is>
          <t>세종소담황금</t>
        </is>
      </c>
      <c r="P2915" s="4" t="n">
        <v>1</v>
      </c>
      <c r="Q2915" s="4" t="n">
        <v>1352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유천리 497-5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50000</v>
      </c>
      <c r="G2916" s="4" t="n">
        <v>1061</v>
      </c>
      <c r="H2916" s="4" t="n">
        <v>321</v>
      </c>
      <c r="I2916" s="5" t="n">
        <v>155.8</v>
      </c>
      <c r="J2916" s="5" t="n">
        <v>25.9</v>
      </c>
      <c r="K2916" s="3" t="inlineStr">
        <is>
          <t>도로접한 계획관리지역 대지 및 전</t>
        </is>
      </c>
      <c r="L2916" s="6">
        <f>HYPERLINK("https://fin.land.naver.com/articles/2651854740", "매물Link")</f>
        <v/>
      </c>
      <c r="M2916" s="6">
        <f>HYPERLINK("https://map.naver.com/p/search/전의면 유천리 497-5", "지도Link")</f>
        <v/>
      </c>
      <c r="N2916" s="6">
        <f>HYPERLINK("http://www.eum.go.kr/web/ar/lu/luLandDet.jsp?pnu=3611037026104970005&amp;isNoScr=script&amp;mode=search", "토지이음")</f>
        <v/>
      </c>
      <c r="O2916" s="3" t="inlineStr">
        <is>
          <t>세종나라</t>
        </is>
      </c>
      <c r="P2916" s="4" t="n">
        <v>1</v>
      </c>
      <c r="Q2916" s="4" t="n">
        <v>523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세로한면(불)</t>
        </is>
      </c>
    </row>
    <row r="2917">
      <c r="A2917" s="3" t="inlineStr">
        <is>
          <t>전의면 유천리 76-4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140000</v>
      </c>
      <c r="G2917" s="4" t="n">
        <v>5117</v>
      </c>
      <c r="H2917" s="4" t="n">
        <v>1548</v>
      </c>
      <c r="I2917" s="5" t="n">
        <v>90.40000000000001</v>
      </c>
      <c r="J2917" s="5" t="n">
        <v>26.7</v>
      </c>
      <c r="K2917" s="3" t="inlineStr">
        <is>
          <t>w 1번국도 교통망 너무좋은 위치 w 공장, 창고 하기 좋은 위치</t>
        </is>
      </c>
      <c r="L2917" s="6">
        <f>HYPERLINK("https://fin.land.naver.com/articles/2652022745", "매물Link")</f>
        <v/>
      </c>
      <c r="M2917" s="6">
        <f>HYPERLINK("https://map.naver.com/p/search/전의면 유천리 76-4", "지도Link")</f>
        <v/>
      </c>
      <c r="N2917" s="6">
        <f>HYPERLINK("http://www.eum.go.kr/web/ar/lu/luLandDet.jsp?pnu=3611037026100760004&amp;isNoScr=script&amp;mode=search", "토지이음")</f>
        <v/>
      </c>
      <c r="O2917" s="3" t="inlineStr">
        <is>
          <t>원탑</t>
        </is>
      </c>
      <c r="P2917" s="4" t="n">
        <v>1</v>
      </c>
      <c r="Q2917" s="4" t="n">
        <v>727</v>
      </c>
      <c r="R2917" s="3" t="inlineStr">
        <is>
          <t>보전관리지역</t>
        </is>
      </c>
      <c r="S2917" s="3" t="inlineStr">
        <is>
          <t>전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전의면 유천리 84-1</t>
        </is>
      </c>
      <c r="B2918" s="3" t="inlineStr">
        <is>
          <t>보전관리지역</t>
        </is>
      </c>
      <c r="C2918" s="3" t="inlineStr">
        <is>
          <t>임야</t>
        </is>
      </c>
      <c r="D2918" s="3" t="inlineStr">
        <is>
          <t>임야</t>
        </is>
      </c>
      <c r="E2918" s="3" t="inlineStr">
        <is>
          <t>매매</t>
        </is>
      </c>
      <c r="F2918" s="4" t="n">
        <v>320000</v>
      </c>
      <c r="G2918" s="4" t="n">
        <v>12582</v>
      </c>
      <c r="H2918" s="4" t="n">
        <v>3806</v>
      </c>
      <c r="I2918" s="5" t="n">
        <v>84.09999999999999</v>
      </c>
      <c r="J2918" s="5" t="n">
        <v>20.6</v>
      </c>
      <c r="K2918" s="3" t="inlineStr">
        <is>
          <t>1번국도접한 광고효과 좋은 토지매매</t>
        </is>
      </c>
      <c r="L2918" s="6">
        <f>HYPERLINK("https://fin.land.naver.com/articles/2653318114", "매물Link")</f>
        <v/>
      </c>
      <c r="M2918" s="6">
        <f>HYPERLINK("https://map.naver.com/p/search/전의면 유천리 84-1", "지도Link")</f>
        <v/>
      </c>
      <c r="N2918" s="6">
        <f>HYPERLINK("http://www.eum.go.kr/web/ar/lu/luLandDet.jsp?pnu=3611037026100840001&amp;isNoScr=script&amp;mode=search", "토지이음")</f>
        <v/>
      </c>
      <c r="O2918" s="3" t="inlineStr">
        <is>
          <t>복전</t>
        </is>
      </c>
      <c r="P2918" s="4" t="n">
        <v>1</v>
      </c>
      <c r="Q2918" s="4" t="n">
        <v>10837</v>
      </c>
      <c r="R2918" s="3" t="inlineStr">
        <is>
          <t>계획관리지역</t>
        </is>
      </c>
      <c r="S2918" s="3" t="inlineStr">
        <is>
          <t>자연림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중로한면</t>
        </is>
      </c>
    </row>
    <row r="2919">
      <c r="A2919" s="3" t="inlineStr">
        <is>
          <t>전의면 유천리 84-1</t>
        </is>
      </c>
      <c r="B2919" s="3" t="inlineStr">
        <is>
          <t>보전관리지역</t>
        </is>
      </c>
      <c r="C2919" s="3" t="inlineStr">
        <is>
          <t>임야</t>
        </is>
      </c>
      <c r="D2919" s="3" t="inlineStr">
        <is>
          <t>임야</t>
        </is>
      </c>
      <c r="E2919" s="3" t="inlineStr">
        <is>
          <t>매매</t>
        </is>
      </c>
      <c r="F2919" s="4" t="n">
        <v>320000</v>
      </c>
      <c r="G2919" s="4" t="n">
        <v>12582</v>
      </c>
      <c r="H2919" s="4" t="n">
        <v>3806</v>
      </c>
      <c r="I2919" s="5" t="n">
        <v>84.09999999999999</v>
      </c>
      <c r="J2919" s="5" t="n">
        <v>20.6</v>
      </c>
      <c r="K2919" s="3" t="inlineStr">
        <is>
          <t>2차선도로접 평탄한임야 민원소지적음 다목적개발용이</t>
        </is>
      </c>
      <c r="L2919" s="6">
        <f>HYPERLINK("https://fin.land.naver.com/articles/2655013660", "매물Link")</f>
        <v/>
      </c>
      <c r="M2919" s="6">
        <f>HYPERLINK("https://map.naver.com/p/search/전의면 유천리 84-1", "지도Link")</f>
        <v/>
      </c>
      <c r="N2919" s="6">
        <f>HYPERLINK("http://www.eum.go.kr/web/ar/lu/luLandDet.jsp?pnu=3611037026100840001&amp;isNoScr=script&amp;mode=search", "토지이음")</f>
        <v/>
      </c>
      <c r="O2919" s="3" t="inlineStr">
        <is>
          <t>한마음</t>
        </is>
      </c>
      <c r="P2919" s="4" t="n">
        <v>1</v>
      </c>
      <c r="Q2919" s="4" t="n">
        <v>10837</v>
      </c>
      <c r="R2919" s="3" t="inlineStr">
        <is>
          <t>계획관리지역</t>
        </is>
      </c>
      <c r="S2919" s="3" t="inlineStr">
        <is>
          <t>자연림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중로한면</t>
        </is>
      </c>
    </row>
    <row r="2920">
      <c r="A2920" s="3" t="inlineStr">
        <is>
          <t>전의면 읍내리 103-5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16000</v>
      </c>
      <c r="G2920" s="4" t="n">
        <v>222</v>
      </c>
      <c r="H2920" s="4" t="n">
        <v>67</v>
      </c>
      <c r="I2920" s="5" t="n">
        <v>238.8</v>
      </c>
      <c r="J2920" s="5" t="n">
        <v>83</v>
      </c>
      <c r="K2920" s="3" t="inlineStr">
        <is>
          <t>2차선 도로변 계획관리 토지</t>
        </is>
      </c>
      <c r="L2920" s="6">
        <f>HYPERLINK("https://fin.land.naver.com/articles/2652109114", "매물Link")</f>
        <v/>
      </c>
      <c r="M2920" s="6">
        <f>HYPERLINK("https://map.naver.com/p/search/전의면 읍내리 103-5", "지도Link")</f>
        <v/>
      </c>
      <c r="N2920" s="6">
        <f>HYPERLINK("http://www.eum.go.kr/web/ar/lu/luLandDet.jsp?pnu=3611037021101030005&amp;isNoScr=script&amp;mode=search", "토지이음")</f>
        <v/>
      </c>
      <c r="O2920" s="3" t="inlineStr">
        <is>
          <t>미스터홈즈강남지사</t>
        </is>
      </c>
      <c r="P2920" s="4" t="n">
        <v>1</v>
      </c>
      <c r="Q2920" s="4" t="n">
        <v>222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중로각지</t>
        </is>
      </c>
    </row>
    <row r="2921">
      <c r="A2921" s="3" t="inlineStr">
        <is>
          <t>전의면 읍내리 11-16</t>
        </is>
      </c>
      <c r="B2921" s="3" t="inlineStr">
        <is>
          <t>계획관리지역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32000</v>
      </c>
      <c r="G2921" s="4" t="n">
        <v>642</v>
      </c>
      <c r="H2921" s="4" t="n">
        <v>194</v>
      </c>
      <c r="I2921" s="5" t="n">
        <v>164.9</v>
      </c>
      <c r="J2921" s="5" t="n">
        <v>74.90000000000001</v>
      </c>
      <c r="K2921" s="3" t="inlineStr">
        <is>
          <t>nan</t>
        </is>
      </c>
      <c r="L2921" s="6">
        <f>HYPERLINK("https://fin.land.naver.com/articles/2652931214", "매물Link")</f>
        <v/>
      </c>
      <c r="M2921" s="6">
        <f>HYPERLINK("https://map.naver.com/p/search/전의면 읍내리 11-16", "지도Link")</f>
        <v/>
      </c>
      <c r="N2921" s="6">
        <f>HYPERLINK("http://www.eum.go.kr/web/ar/lu/luLandDet.jsp?pnu=3611037021100110016&amp;isNoScr=script&amp;mode=search", "토지이음")</f>
        <v/>
      </c>
      <c r="O2921" s="3" t="inlineStr">
        <is>
          <t>으뜸</t>
        </is>
      </c>
      <c r="P2921" s="4" t="n">
        <v>1</v>
      </c>
      <c r="Q2921" s="4" t="n">
        <v>513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전의면 읍내리 11-2</t>
        </is>
      </c>
      <c r="B2922" s="3" t="inlineStr">
        <is>
          <t>계획관리지역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150000</v>
      </c>
      <c r="G2922" s="4" t="n">
        <v>2820</v>
      </c>
      <c r="H2922" s="4" t="n">
        <v>853</v>
      </c>
      <c r="I2922" s="5" t="n">
        <v>175.8</v>
      </c>
      <c r="J2922" s="5" t="n">
        <v>35.3</v>
      </c>
      <c r="K2922" s="3" t="inlineStr">
        <is>
          <t>신규주거단지 및 체육공원 바로 앞 계획관리 토지</t>
        </is>
      </c>
      <c r="L2922" s="6">
        <f>HYPERLINK("https://fin.land.naver.com/articles/2652028838", "매물Link")</f>
        <v/>
      </c>
      <c r="M2922" s="6">
        <f>HYPERLINK("https://map.naver.com/p/search/전의면 읍내리 11-2", "지도Link")</f>
        <v/>
      </c>
      <c r="N2922" s="6">
        <f>HYPERLINK("http://www.eum.go.kr/web/ar/lu/luLandDet.jsp?pnu=3611037021100110002&amp;isNoScr=script&amp;mode=search", "토지이음")</f>
        <v/>
      </c>
      <c r="O2922" s="3" t="inlineStr">
        <is>
          <t>미스터홈즈강남지사</t>
        </is>
      </c>
      <c r="P2922" s="4" t="n">
        <v>1</v>
      </c>
      <c r="Q2922" s="4" t="n">
        <v>2820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전의면 읍내리 11-20</t>
        </is>
      </c>
      <c r="B2923" s="3" t="inlineStr">
        <is>
          <t>계획관리지역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25000</v>
      </c>
      <c r="G2923" s="4" t="n">
        <v>749</v>
      </c>
      <c r="H2923" s="4" t="n">
        <v>227</v>
      </c>
      <c r="I2923" s="5" t="n">
        <v>110.1</v>
      </c>
      <c r="J2923" s="5" t="n">
        <v>37.1</v>
      </c>
      <c r="K2923" s="3" t="inlineStr">
        <is>
          <t>nan</t>
        </is>
      </c>
      <c r="L2923" s="6">
        <f>HYPERLINK("https://fin.land.naver.com/articles/2654805353", "매물Link")</f>
        <v/>
      </c>
      <c r="M2923" s="6">
        <f>HYPERLINK("https://map.naver.com/p/search/전의면 읍내리 11-20", "지도Link")</f>
        <v/>
      </c>
      <c r="N2923" s="6">
        <f>HYPERLINK("http://www.eum.go.kr/web/ar/lu/luLandDet.jsp?pnu=3611037021100110020&amp;isNoScr=script&amp;mode=search", "토지이음")</f>
        <v/>
      </c>
      <c r="O2923" s="3" t="inlineStr">
        <is>
          <t>강아지풀</t>
        </is>
      </c>
      <c r="P2923" s="4" t="n">
        <v>1</v>
      </c>
      <c r="Q2923" s="4" t="n">
        <v>749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맹지</t>
        </is>
      </c>
    </row>
    <row r="2924">
      <c r="A2924" s="3" t="inlineStr">
        <is>
          <t>전의면 읍내리 168</t>
        </is>
      </c>
      <c r="B2924" s="3" t="inlineStr">
        <is>
          <t>보전녹지지역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15000</v>
      </c>
      <c r="G2924" s="4" t="n">
        <v>646</v>
      </c>
      <c r="H2924" s="4" t="n">
        <v>195</v>
      </c>
      <c r="I2924" s="5" t="n">
        <v>76.90000000000001</v>
      </c>
      <c r="J2924" s="5" t="n">
        <v>11.1</v>
      </c>
      <c r="K2924" s="3" t="inlineStr">
        <is>
          <t>전의 향교 뒷쪽 저렴한 매물</t>
        </is>
      </c>
      <c r="L2924" s="6">
        <f>HYPERLINK("https://fin.land.naver.com/articles/2652621700", "매물Link")</f>
        <v/>
      </c>
      <c r="M2924" s="6">
        <f>HYPERLINK("https://map.naver.com/p/search/전의면 읍내리 168", "지도Link")</f>
        <v/>
      </c>
      <c r="N2924" s="6">
        <f>HYPERLINK("http://www.eum.go.kr/web/ar/lu/luLandDet.jsp?pnu=3611037021101680000&amp;isNoScr=script&amp;mode=search", "토지이음")</f>
        <v/>
      </c>
      <c r="O2924" s="3" t="inlineStr">
        <is>
          <t>강나루</t>
        </is>
      </c>
      <c r="P2924" s="4" t="n">
        <v>1</v>
      </c>
      <c r="Q2924" s="4" t="n">
        <v>2136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급경사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전의면 읍내리 24-6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117000</v>
      </c>
      <c r="G2925" s="4" t="n">
        <v>1928</v>
      </c>
      <c r="H2925" s="4" t="n">
        <v>583</v>
      </c>
      <c r="I2925" s="5" t="n">
        <v>200.7</v>
      </c>
      <c r="J2925" s="5" t="n">
        <v>35.7</v>
      </c>
      <c r="K2925" s="3" t="inlineStr">
        <is>
          <t>투자 물건으로 적합</t>
        </is>
      </c>
      <c r="L2925" s="6">
        <f>HYPERLINK("https://fin.land.naver.com/articles/2653057935", "매물Link")</f>
        <v/>
      </c>
      <c r="M2925" s="6">
        <f>HYPERLINK("https://map.naver.com/p/search/전의면 읍내리 24-6", "지도Link")</f>
        <v/>
      </c>
      <c r="N2925" s="6">
        <f>HYPERLINK("http://www.eum.go.kr/web/ar/lu/luLandDet.jsp?pnu=3611037021100240006&amp;isNoScr=script&amp;mode=search", "토지이음")</f>
        <v/>
      </c>
      <c r="O2925" s="3" t="inlineStr">
        <is>
          <t>주식회사 경진컨설팅</t>
        </is>
      </c>
      <c r="P2925" s="4" t="n">
        <v>1</v>
      </c>
      <c r="Q2925" s="4" t="n">
        <v>1928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읍내리 27</t>
        </is>
      </c>
      <c r="B2926" s="3" t="inlineStr">
        <is>
          <t>계획관리지역</t>
        </is>
      </c>
      <c r="C2926" s="3" t="inlineStr">
        <is>
          <t>체육용지</t>
        </is>
      </c>
      <c r="D2926" s="3" t="inlineStr">
        <is>
          <t>임야</t>
        </is>
      </c>
      <c r="E2926" s="3" t="inlineStr">
        <is>
          <t>매매</t>
        </is>
      </c>
      <c r="F2926" s="4" t="n">
        <v>420000</v>
      </c>
      <c r="G2926" s="4" t="n">
        <v>23092</v>
      </c>
      <c r="H2926" s="4" t="n">
        <v>6985</v>
      </c>
      <c r="I2926" s="5" t="n">
        <v>60.1</v>
      </c>
      <c r="J2926" s="5" t="n">
        <v>51.1</v>
      </c>
      <c r="K2926" s="3" t="inlineStr">
        <is>
          <t>세종시 그린산업단지 인접토지 세종시에 얼마남지 않은 넓은면적에토지</t>
        </is>
      </c>
      <c r="L2926" s="6">
        <f>HYPERLINK("https://fin.land.naver.com/articles/2655490337", "매물Link")</f>
        <v/>
      </c>
      <c r="M2926" s="6">
        <f>HYPERLINK("https://map.naver.com/p/search/전의면 읍내리 27", "지도Link")</f>
        <v/>
      </c>
      <c r="N2926" s="6">
        <f>HYPERLINK("http://www.eum.go.kr/web/ar/lu/luLandDet.jsp?pnu=3611037021100270000&amp;isNoScr=script&amp;mode=search", "토지이음")</f>
        <v/>
      </c>
      <c r="O2926" s="3" t="inlineStr">
        <is>
          <t>효성해링턴오복</t>
        </is>
      </c>
      <c r="P2926" s="4" t="n">
        <v>1</v>
      </c>
      <c r="Q2926" s="4" t="n">
        <v>697</v>
      </c>
      <c r="R2926" s="3" t="inlineStr">
        <is>
          <t>지정되지않음</t>
        </is>
      </c>
      <c r="S2926" s="3" t="inlineStr">
        <is>
          <t>주거기타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읍내리 27-4</t>
        </is>
      </c>
      <c r="B2927" s="3" t="inlineStr">
        <is>
          <t>계획관리지역</t>
        </is>
      </c>
      <c r="C2927" s="3" t="inlineStr">
        <is>
          <t>종교용지</t>
        </is>
      </c>
      <c r="D2927" s="3" t="inlineStr">
        <is>
          <t>대</t>
        </is>
      </c>
      <c r="E2927" s="3" t="inlineStr">
        <is>
          <t>매매</t>
        </is>
      </c>
      <c r="F2927" s="4" t="n">
        <v>270000</v>
      </c>
      <c r="G2927" s="4" t="n">
        <v>23029</v>
      </c>
      <c r="H2927" s="4" t="n">
        <v>6966</v>
      </c>
      <c r="I2927" s="5" t="n">
        <v>38.8</v>
      </c>
      <c r="J2927" s="5" t="n">
        <v>51.1</v>
      </c>
      <c r="K2927" s="3" t="inlineStr">
        <is>
          <t>세종 스마트 산업단지 지원시설아파트단지, 단독, 상업시설 접함</t>
        </is>
      </c>
      <c r="L2927" s="6">
        <f>HYPERLINK("https://fin.land.naver.com/articles/2653353130", "매물Link")</f>
        <v/>
      </c>
      <c r="M2927" s="6">
        <f>HYPERLINK("https://map.naver.com/p/search/전의면 읍내리 27-4", "지도Link")</f>
        <v/>
      </c>
      <c r="N2927" s="6">
        <f>HYPERLINK("http://www.eum.go.kr/web/ar/lu/luLandDet.jsp?pnu=3611037021100270004&amp;isNoScr=script&amp;mode=search", "토지이음")</f>
        <v/>
      </c>
      <c r="O2927" s="3" t="inlineStr">
        <is>
          <t>황제</t>
        </is>
      </c>
      <c r="P2927" s="4" t="n">
        <v>1</v>
      </c>
      <c r="Q2927" s="4" t="n">
        <v>1954</v>
      </c>
      <c r="R2927" s="3" t="inlineStr">
        <is>
          <t>지정되지않음</t>
        </is>
      </c>
      <c r="S2927" s="3" t="inlineStr">
        <is>
          <t>주거기타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읍내리 282-2</t>
        </is>
      </c>
      <c r="B2928" s="3" t="inlineStr">
        <is>
          <t>생산녹지지역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14000</v>
      </c>
      <c r="G2928" s="4" t="n">
        <v>595</v>
      </c>
      <c r="H2928" s="4" t="n">
        <v>180</v>
      </c>
      <c r="I2928" s="5" t="n">
        <v>77.8</v>
      </c>
      <c r="J2928" s="5" t="n">
        <v>21.8</v>
      </c>
      <c r="K2928" s="3" t="inlineStr">
        <is>
          <t>투자용으로 추천합니다.</t>
        </is>
      </c>
      <c r="L2928" s="6">
        <f>HYPERLINK("https://fin.land.naver.com/articles/2652931174", "매물Link")</f>
        <v/>
      </c>
      <c r="M2928" s="6">
        <f>HYPERLINK("https://map.naver.com/p/search/전의면 읍내리 282-2", "지도Link")</f>
        <v/>
      </c>
      <c r="N2928" s="6">
        <f>HYPERLINK("http://www.eum.go.kr/web/ar/lu/luLandDet.jsp?pnu=3611037021102820002&amp;isNoScr=script&amp;mode=search", "토지이음")</f>
        <v/>
      </c>
      <c r="O2928" s="3" t="inlineStr">
        <is>
          <t>으뜸</t>
        </is>
      </c>
      <c r="P2928" s="4" t="n">
        <v>1</v>
      </c>
      <c r="Q2928" s="4" t="n">
        <v>595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세로한면(불)</t>
        </is>
      </c>
    </row>
    <row r="2929">
      <c r="A2929" s="3" t="inlineStr">
        <is>
          <t>전의면 읍내리 297-1</t>
        </is>
      </c>
      <c r="B2929" s="3" t="inlineStr">
        <is>
          <t>제2종일반주거지역</t>
        </is>
      </c>
      <c r="C2929" s="3" t="inlineStr">
        <is>
          <t>답</t>
        </is>
      </c>
      <c r="D2929" s="3" t="inlineStr">
        <is>
          <t>전</t>
        </is>
      </c>
      <c r="E2929" s="3" t="inlineStr">
        <is>
          <t>매매</t>
        </is>
      </c>
      <c r="F2929" s="4" t="n">
        <v>37000</v>
      </c>
      <c r="G2929" s="4" t="n">
        <v>334</v>
      </c>
      <c r="H2929" s="4" t="n">
        <v>101</v>
      </c>
      <c r="I2929" s="5" t="n">
        <v>366.3</v>
      </c>
      <c r="J2929" s="5" t="n">
        <v>164.5</v>
      </c>
      <c r="K2929" s="3" t="inlineStr">
        <is>
          <t>전의역앞 2차선 도로변 2종일반 주거지역 투자또는 건축용으로 추천합니다.</t>
        </is>
      </c>
      <c r="L2929" s="6">
        <f>HYPERLINK("https://fin.land.naver.com/articles/2656212781", "매물Link")</f>
        <v/>
      </c>
      <c r="M2929" s="6">
        <f>HYPERLINK("https://map.naver.com/p/search/전의면 읍내리 297-1", "지도Link")</f>
        <v/>
      </c>
      <c r="N2929" s="6">
        <f>HYPERLINK("http://www.eum.go.kr/web/ar/lu/luLandDet.jsp?pnu=3611037021102970001&amp;isNoScr=script&amp;mode=search", "토지이음")</f>
        <v/>
      </c>
      <c r="O2929" s="3" t="inlineStr">
        <is>
          <t>으뜸</t>
        </is>
      </c>
      <c r="P2929" s="4" t="n">
        <v>1</v>
      </c>
      <c r="Q2929" s="4" t="n">
        <v>334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평지</t>
        </is>
      </c>
      <c r="U2929" s="3" t="inlineStr">
        <is>
          <t>가로장방</t>
        </is>
      </c>
      <c r="V2929" s="3" t="inlineStr">
        <is>
          <t>소로한면</t>
        </is>
      </c>
    </row>
    <row r="2930">
      <c r="A2930" s="3" t="inlineStr">
        <is>
          <t>전의면 읍내리 315-20</t>
        </is>
      </c>
      <c r="B2930" s="3" t="inlineStr">
        <is>
          <t>보전관리지역</t>
        </is>
      </c>
      <c r="C2930" s="3" t="inlineStr">
        <is>
          <t>창고용지</t>
        </is>
      </c>
      <c r="D2930" s="3" t="inlineStr">
        <is>
          <t>창고용지</t>
        </is>
      </c>
      <c r="E2930" s="3" t="inlineStr">
        <is>
          <t>매매</t>
        </is>
      </c>
      <c r="F2930" s="4" t="n">
        <v>400000</v>
      </c>
      <c r="G2930" s="4" t="n">
        <v>4028</v>
      </c>
      <c r="H2930" s="4" t="n">
        <v>1218</v>
      </c>
      <c r="I2930" s="5" t="n">
        <v>328.4</v>
      </c>
      <c r="J2930" s="5" t="n">
        <v>76.40000000000001</v>
      </c>
      <c r="K2930" s="3" t="inlineStr">
        <is>
          <t>위치 좋은 창고용지, 태양광 설치로 년4000만원 수익 창출, 가격 조율</t>
        </is>
      </c>
      <c r="L2930" s="6">
        <f>HYPERLINK("https://fin.land.naver.com/articles/2654659577", "매물Link")</f>
        <v/>
      </c>
      <c r="M2930" s="6">
        <f>HYPERLINK("https://map.naver.com/p/search/전의면 읍내리 315-20", "지도Link")</f>
        <v/>
      </c>
      <c r="N2930" s="6">
        <f>HYPERLINK("http://www.eum.go.kr/web/ar/lu/luLandDet.jsp?pnu=3611037021103150020&amp;isNoScr=script&amp;mode=search", "토지이음")</f>
        <v/>
      </c>
      <c r="O2930" s="3" t="inlineStr">
        <is>
          <t>세종웅진</t>
        </is>
      </c>
      <c r="P2930" s="4" t="n">
        <v>1</v>
      </c>
      <c r="Q2930" s="4" t="n">
        <v>4028</v>
      </c>
      <c r="R2930" s="3" t="inlineStr">
        <is>
          <t>지정되지않음</t>
        </is>
      </c>
      <c r="S2930" s="3" t="inlineStr">
        <is>
          <t>주거기타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소로한면</t>
        </is>
      </c>
    </row>
    <row r="2931">
      <c r="A2931" s="3" t="inlineStr">
        <is>
          <t>전의면 읍내리 334-2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38000</v>
      </c>
      <c r="G2931" s="4" t="n">
        <v>1445</v>
      </c>
      <c r="H2931" s="4" t="n">
        <v>437</v>
      </c>
      <c r="I2931" s="5" t="n">
        <v>87</v>
      </c>
      <c r="J2931" s="5" t="n">
        <v>24</v>
      </c>
      <c r="K2931" s="3" t="inlineStr">
        <is>
          <t>전원주택 부지 적합</t>
        </is>
      </c>
      <c r="L2931" s="6">
        <f>HYPERLINK("https://fin.land.naver.com/articles/2650977205", "매물Link")</f>
        <v/>
      </c>
      <c r="M2931" s="6">
        <f>HYPERLINK("https://map.naver.com/p/search/전의면 읍내리 334-2", "지도Link")</f>
        <v/>
      </c>
      <c r="N2931" s="6">
        <f>HYPERLINK("http://www.eum.go.kr/web/ar/lu/luLandDet.jsp?pnu=3611037021103340002&amp;isNoScr=script&amp;mode=search", "토지이음")</f>
        <v/>
      </c>
      <c r="O2931" s="3" t="inlineStr">
        <is>
          <t>오늘의사무소</t>
        </is>
      </c>
      <c r="P2931" s="4" t="n">
        <v>1</v>
      </c>
      <c r="Q2931" s="4" t="n">
        <v>1445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읍내리 386</t>
        </is>
      </c>
      <c r="B2932" s="3" t="inlineStr">
        <is>
          <t>제1종일반주거지역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24500</v>
      </c>
      <c r="G2932" s="4" t="n">
        <v>261</v>
      </c>
      <c r="H2932" s="4" t="n">
        <v>79</v>
      </c>
      <c r="I2932" s="5" t="n">
        <v>310.1</v>
      </c>
      <c r="J2932" s="5" t="n">
        <v>87.90000000000001</v>
      </c>
      <c r="K2932" s="3" t="inlineStr">
        <is>
          <t>근생 및 다가구주택을 지을수 있는 3거리 코너각지의 일반주거지역의 대지</t>
        </is>
      </c>
      <c r="L2932" s="6">
        <f>HYPERLINK("https://fin.land.naver.com/articles/2651238967", "매물Link")</f>
        <v/>
      </c>
      <c r="M2932" s="6">
        <f>HYPERLINK("https://map.naver.com/p/search/전의면 읍내리 386", "지도Link")</f>
        <v/>
      </c>
      <c r="N2932" s="6">
        <f>HYPERLINK("http://www.eum.go.kr/web/ar/lu/luLandDet.jsp?pnu=3611037021103860000&amp;isNoScr=script&amp;mode=search", "토지이음")</f>
        <v/>
      </c>
      <c r="O2932" s="3" t="inlineStr">
        <is>
          <t>스마일세종</t>
        </is>
      </c>
      <c r="P2932" s="4" t="n">
        <v>1</v>
      </c>
      <c r="Q2932" s="4" t="n">
        <v>261.6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소로각지</t>
        </is>
      </c>
    </row>
    <row r="2933">
      <c r="A2933" s="3" t="inlineStr">
        <is>
          <t>전의면 읍내리 393</t>
        </is>
      </c>
      <c r="B2933" s="3" t="inlineStr">
        <is>
          <t>제1종일반주거지역</t>
        </is>
      </c>
      <c r="C2933" s="3" t="inlineStr">
        <is>
          <t>대</t>
        </is>
      </c>
      <c r="D2933" s="3" t="inlineStr">
        <is>
          <t>대</t>
        </is>
      </c>
      <c r="E2933" s="3" t="inlineStr">
        <is>
          <t>매매</t>
        </is>
      </c>
      <c r="F2933" s="4" t="n">
        <v>21613</v>
      </c>
      <c r="G2933" s="4" t="n">
        <v>259</v>
      </c>
      <c r="H2933" s="4" t="n">
        <v>78</v>
      </c>
      <c r="I2933" s="5" t="n">
        <v>277.1</v>
      </c>
      <c r="J2933" s="5" t="n">
        <v>87</v>
      </c>
      <c r="K2933" s="3" t="inlineStr">
        <is>
          <t>nan</t>
        </is>
      </c>
      <c r="L2933" s="6">
        <f>HYPERLINK("https://fin.land.naver.com/articles/2656219705", "매물Link")</f>
        <v/>
      </c>
      <c r="M2933" s="6">
        <f>HYPERLINK("https://map.naver.com/p/search/전의면 읍내리 393", "지도Link")</f>
        <v/>
      </c>
      <c r="N2933" s="6">
        <f>HYPERLINK("http://www.eum.go.kr/web/ar/lu/luLandDet.jsp?pnu=3611037021103930000&amp;isNoScr=script&amp;mode=search", "토지이음")</f>
        <v/>
      </c>
      <c r="O2933" s="3" t="inlineStr">
        <is>
          <t>북세종</t>
        </is>
      </c>
      <c r="P2933" s="4" t="n">
        <v>1</v>
      </c>
      <c r="Q2933" s="4" t="n">
        <v>258.2</v>
      </c>
      <c r="R2933" s="3" t="inlineStr">
        <is>
          <t>지정되지않음</t>
        </is>
      </c>
      <c r="S2933" s="3" t="inlineStr">
        <is>
          <t>주거나지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전의면 읍내리 396</t>
        </is>
      </c>
      <c r="B2934" s="3" t="inlineStr">
        <is>
          <t>제1종일반주거지역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22578</v>
      </c>
      <c r="G2934" s="4" t="n">
        <v>252</v>
      </c>
      <c r="H2934" s="4" t="n">
        <v>76</v>
      </c>
      <c r="I2934" s="5" t="n">
        <v>297.1</v>
      </c>
      <c r="J2934" s="5" t="n">
        <v>87.90000000000001</v>
      </c>
      <c r="K2934" s="3" t="inlineStr">
        <is>
          <t>스마트그린 코너자리 점포겸용택지</t>
        </is>
      </c>
      <c r="L2934" s="6">
        <f>HYPERLINK("https://fin.land.naver.com/articles/2656216225", "매물Link")</f>
        <v/>
      </c>
      <c r="M2934" s="6">
        <f>HYPERLINK("https://map.naver.com/p/search/전의면 읍내리 396", "지도Link")</f>
        <v/>
      </c>
      <c r="N2934" s="6">
        <f>HYPERLINK("http://www.eum.go.kr/web/ar/lu/luLandDet.jsp?pnu=3611037021103960000&amp;isNoScr=script&amp;mode=search", "토지이음")</f>
        <v/>
      </c>
      <c r="O2934" s="3" t="inlineStr">
        <is>
          <t>북세종</t>
        </is>
      </c>
      <c r="P2934" s="4" t="n">
        <v>2</v>
      </c>
      <c r="Q2934" s="4" t="n">
        <v>252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소로각지</t>
        </is>
      </c>
    </row>
    <row r="2935">
      <c r="A2935" s="3" t="inlineStr">
        <is>
          <t>전의면 읍내리 410</t>
        </is>
      </c>
      <c r="B2935" s="3" t="inlineStr">
        <is>
          <t>제1종일반주거지역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15000</v>
      </c>
      <c r="G2935" s="4" t="n">
        <v>266</v>
      </c>
      <c r="H2935" s="4" t="n">
        <v>80</v>
      </c>
      <c r="I2935" s="5" t="n">
        <v>187.5</v>
      </c>
      <c r="J2935" s="5" t="n">
        <v>87</v>
      </c>
      <c r="K2935" s="3" t="inlineStr">
        <is>
          <t>전의 스마트그린산단 지역 일반 택지</t>
        </is>
      </c>
      <c r="L2935" s="6">
        <f>HYPERLINK("https://fin.land.naver.com/articles/2652621710", "매물Link")</f>
        <v/>
      </c>
      <c r="M2935" s="6">
        <f>HYPERLINK("https://map.naver.com/p/search/전의면 읍내리 410", "지도Link")</f>
        <v/>
      </c>
      <c r="N2935" s="6">
        <f>HYPERLINK("http://www.eum.go.kr/web/ar/lu/luLandDet.jsp?pnu=3611037021104100000&amp;isNoScr=script&amp;mode=search", "토지이음")</f>
        <v/>
      </c>
      <c r="O2935" s="3" t="inlineStr">
        <is>
          <t>강나루</t>
        </is>
      </c>
      <c r="P2935" s="4" t="n">
        <v>1</v>
      </c>
      <c r="Q2935" s="4" t="n">
        <v>266.1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사다리형</t>
        </is>
      </c>
      <c r="V2935" s="3" t="inlineStr">
        <is>
          <t>소로한면</t>
        </is>
      </c>
    </row>
    <row r="2936">
      <c r="A2936" s="3" t="inlineStr">
        <is>
          <t>전의면 읍내리 410</t>
        </is>
      </c>
      <c r="B2936" s="3" t="inlineStr">
        <is>
          <t>제1종일반주거지역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20000</v>
      </c>
      <c r="G2936" s="4" t="n">
        <v>266</v>
      </c>
      <c r="H2936" s="4" t="n">
        <v>80</v>
      </c>
      <c r="I2936" s="5" t="n">
        <v>250</v>
      </c>
      <c r="J2936" s="5" t="n">
        <v>87</v>
      </c>
      <c r="K2936" s="3" t="inlineStr">
        <is>
          <t>초급매 3거리 코너각지의 공원 옆에 있는 대지로 상가주택부지로 좋은 대지</t>
        </is>
      </c>
      <c r="L2936" s="6">
        <f>HYPERLINK("https://fin.land.naver.com/articles/2652988780", "매물Link")</f>
        <v/>
      </c>
      <c r="M2936" s="6">
        <f>HYPERLINK("https://map.naver.com/p/search/전의면 읍내리 410", "지도Link")</f>
        <v/>
      </c>
      <c r="N2936" s="6">
        <f>HYPERLINK("http://www.eum.go.kr/web/ar/lu/luLandDet.jsp?pnu=3611037021104100000&amp;isNoScr=script&amp;mode=search", "토지이음")</f>
        <v/>
      </c>
      <c r="O2936" s="3" t="inlineStr">
        <is>
          <t>스마일세종</t>
        </is>
      </c>
      <c r="P2936" s="4" t="n">
        <v>1</v>
      </c>
      <c r="Q2936" s="4" t="n">
        <v>266.1</v>
      </c>
      <c r="R2936" s="3" t="inlineStr">
        <is>
          <t>지정되지않음</t>
        </is>
      </c>
      <c r="S2936" s="3" t="inlineStr">
        <is>
          <t>주거나지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전의면 읍내리 458</t>
        </is>
      </c>
      <c r="B2937" s="3" t="inlineStr">
        <is>
          <t>제1종일반주거지역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32000</v>
      </c>
      <c r="G2937" s="4" t="n">
        <v>249</v>
      </c>
      <c r="H2937" s="4" t="n">
        <v>75</v>
      </c>
      <c r="I2937" s="5" t="n">
        <v>426.7</v>
      </c>
      <c r="J2937" s="5" t="n">
        <v>88</v>
      </c>
      <c r="K2937" s="3" t="inlineStr">
        <is>
          <t>소액투자 추천매물,  세종산업단지 대규모 지원단지, 상가, 주택,카페 등</t>
        </is>
      </c>
      <c r="L2937" s="6">
        <f>HYPERLINK("https://fin.land.naver.com/articles/2651395954", "매물Link")</f>
        <v/>
      </c>
      <c r="M2937" s="6">
        <f>HYPERLINK("https://map.naver.com/p/search/전의면 읍내리 458", "지도Link")</f>
        <v/>
      </c>
      <c r="N2937" s="6">
        <f>HYPERLINK("http://www.eum.go.kr/web/ar/lu/luLandDet.jsp?pnu=3611037021104580000&amp;isNoScr=script&amp;mode=search", "토지이음")</f>
        <v/>
      </c>
      <c r="O2937" s="3" t="inlineStr">
        <is>
          <t>세종특별시</t>
        </is>
      </c>
      <c r="P2937" s="4" t="n">
        <v>1</v>
      </c>
      <c r="Q2937" s="4" t="n">
        <v>249.5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가로장방</t>
        </is>
      </c>
      <c r="V2937" s="3" t="inlineStr">
        <is>
          <t>소로한면</t>
        </is>
      </c>
    </row>
    <row r="2938">
      <c r="A2938" s="3" t="inlineStr">
        <is>
          <t>전의면 읍내리 476</t>
        </is>
      </c>
      <c r="B2938" s="3" t="inlineStr">
        <is>
          <t>제1종일반주거지역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24000</v>
      </c>
      <c r="G2938" s="4" t="n">
        <v>246</v>
      </c>
      <c r="H2938" s="4" t="n">
        <v>74</v>
      </c>
      <c r="I2938" s="5" t="n">
        <v>324.3</v>
      </c>
      <c r="J2938" s="5" t="n">
        <v>88.90000000000001</v>
      </c>
      <c r="K2938" s="3" t="inlineStr">
        <is>
          <t>급매 세종스마트그린 지원단지내  상가 및 주택을 건축할 수 있는 택지</t>
        </is>
      </c>
      <c r="L2938" s="6">
        <f>HYPERLINK("https://fin.land.naver.com/articles/2654752809", "매물Link")</f>
        <v/>
      </c>
      <c r="M2938" s="6">
        <f>HYPERLINK("https://map.naver.com/p/search/전의면 읍내리 476", "지도Link")</f>
        <v/>
      </c>
      <c r="N2938" s="6">
        <f>HYPERLINK("http://www.eum.go.kr/web/ar/lu/luLandDet.jsp?pnu=3611037021104760000&amp;isNoScr=script&amp;mode=search", "토지이음")</f>
        <v/>
      </c>
      <c r="O2938" s="3" t="inlineStr">
        <is>
          <t>스마일세종</t>
        </is>
      </c>
      <c r="P2938" s="4" t="n">
        <v>1</v>
      </c>
      <c r="Q2938" s="4" t="n">
        <v>246.8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소로각지</t>
        </is>
      </c>
    </row>
    <row r="2939">
      <c r="A2939" s="3" t="inlineStr">
        <is>
          <t>전의면 읍내리 508</t>
        </is>
      </c>
      <c r="B2939" s="3" t="inlineStr">
        <is>
          <t>제1종일반주거지역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25000</v>
      </c>
      <c r="G2939" s="4" t="n">
        <v>257</v>
      </c>
      <c r="H2939" s="4" t="n">
        <v>78</v>
      </c>
      <c r="I2939" s="5" t="n">
        <v>320.5</v>
      </c>
      <c r="J2939" s="5" t="n">
        <v>88</v>
      </c>
      <c r="K2939" s="3" t="inlineStr">
        <is>
          <t>급매 분양가 이하 세종스마트그린 지원단지에 있는 택지 상가 및 주택 가능</t>
        </is>
      </c>
      <c r="L2939" s="6">
        <f>HYPERLINK("https://fin.land.naver.com/articles/2653608987", "매물Link")</f>
        <v/>
      </c>
      <c r="M2939" s="6">
        <f>HYPERLINK("https://map.naver.com/p/search/전의면 읍내리 508", "지도Link")</f>
        <v/>
      </c>
      <c r="N2939" s="6">
        <f>HYPERLINK("http://www.eum.go.kr/web/ar/lu/luLandDet.jsp?pnu=3611037021105080000&amp;isNoScr=script&amp;mode=search", "토지이음")</f>
        <v/>
      </c>
      <c r="O2939" s="3" t="inlineStr">
        <is>
          <t>스마일세종</t>
        </is>
      </c>
      <c r="P2939" s="4" t="n">
        <v>1</v>
      </c>
      <c r="Q2939" s="4" t="n">
        <v>257.8</v>
      </c>
      <c r="R2939" s="3" t="inlineStr">
        <is>
          <t>지정되지않음</t>
        </is>
      </c>
      <c r="S2939" s="3" t="inlineStr">
        <is>
          <t>주거나지</t>
        </is>
      </c>
      <c r="T2939" s="3" t="inlineStr">
        <is>
          <t>평지</t>
        </is>
      </c>
      <c r="U2939" s="3" t="inlineStr">
        <is>
          <t>가로장방</t>
        </is>
      </c>
      <c r="V2939" s="3" t="inlineStr">
        <is>
          <t>소로한면</t>
        </is>
      </c>
    </row>
    <row r="2940">
      <c r="A2940" s="3" t="inlineStr">
        <is>
          <t>전의면 읍내리 508</t>
        </is>
      </c>
      <c r="B2940" s="3" t="inlineStr">
        <is>
          <t>제1종일반주거지역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25500</v>
      </c>
      <c r="G2940" s="4" t="n">
        <v>257</v>
      </c>
      <c r="H2940" s="4" t="n">
        <v>78</v>
      </c>
      <c r="I2940" s="5" t="n">
        <v>326.9</v>
      </c>
      <c r="J2940" s="5" t="n">
        <v>88</v>
      </c>
      <c r="K2940" s="3" t="inlineStr">
        <is>
          <t>소액 투자추천  토지, 근생 ,원룸 ,식당등 가능 ,산업단지수요많은곳</t>
        </is>
      </c>
      <c r="L2940" s="6">
        <f>HYPERLINK("https://fin.land.naver.com/articles/2651396051", "매물Link")</f>
        <v/>
      </c>
      <c r="M2940" s="6">
        <f>HYPERLINK("https://map.naver.com/p/search/전의면 읍내리 508", "지도Link")</f>
        <v/>
      </c>
      <c r="N2940" s="6">
        <f>HYPERLINK("http://www.eum.go.kr/web/ar/lu/luLandDet.jsp?pnu=3611037021105080000&amp;isNoScr=script&amp;mode=search", "토지이음")</f>
        <v/>
      </c>
      <c r="O2940" s="3" t="inlineStr">
        <is>
          <t>세종특별시</t>
        </is>
      </c>
      <c r="P2940" s="4" t="n">
        <v>1</v>
      </c>
      <c r="Q2940" s="4" t="n">
        <v>257.8</v>
      </c>
      <c r="R2940" s="3" t="inlineStr">
        <is>
          <t>지정되지않음</t>
        </is>
      </c>
      <c r="S2940" s="3" t="inlineStr">
        <is>
          <t>주거나지</t>
        </is>
      </c>
      <c r="T2940" s="3" t="inlineStr">
        <is>
          <t>평지</t>
        </is>
      </c>
      <c r="U2940" s="3" t="inlineStr">
        <is>
          <t>가로장방</t>
        </is>
      </c>
      <c r="V2940" s="3" t="inlineStr">
        <is>
          <t>소로한면</t>
        </is>
      </c>
    </row>
    <row r="2941">
      <c r="A2941" s="3" t="inlineStr">
        <is>
          <t>전의면 읍내리 515</t>
        </is>
      </c>
      <c r="B2941" s="3" t="inlineStr">
        <is>
          <t>제1종일반주거지역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25000</v>
      </c>
      <c r="G2941" s="4" t="n">
        <v>257</v>
      </c>
      <c r="H2941" s="4" t="n">
        <v>78</v>
      </c>
      <c r="I2941" s="5" t="n">
        <v>320.5</v>
      </c>
      <c r="J2941" s="5" t="n">
        <v>88</v>
      </c>
      <c r="K2941" s="3" t="inlineStr">
        <is>
          <t>산조망 카페 추천 , 근생가능 . 소액투자. 산업단지 풍부한 수요,</t>
        </is>
      </c>
      <c r="L2941" s="6">
        <f>HYPERLINK("https://fin.land.naver.com/articles/2652333092", "매물Link")</f>
        <v/>
      </c>
      <c r="M2941" s="6">
        <f>HYPERLINK("https://map.naver.com/p/search/전의면 읍내리 515", "지도Link")</f>
        <v/>
      </c>
      <c r="N2941" s="6">
        <f>HYPERLINK("http://www.eum.go.kr/web/ar/lu/luLandDet.jsp?pnu=3611037021105150000&amp;isNoScr=script&amp;mode=search", "토지이음")</f>
        <v/>
      </c>
      <c r="O2941" s="3" t="inlineStr">
        <is>
          <t>세종특별시</t>
        </is>
      </c>
      <c r="P2941" s="4" t="n">
        <v>1</v>
      </c>
      <c r="Q2941" s="4" t="n">
        <v>257.3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전의면 읍내리 516</t>
        </is>
      </c>
      <c r="B2942" s="3" t="inlineStr">
        <is>
          <t>제1종일반주거지역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21000</v>
      </c>
      <c r="G2942" s="4" t="n">
        <v>257</v>
      </c>
      <c r="H2942" s="4" t="n">
        <v>78</v>
      </c>
      <c r="I2942" s="5" t="n">
        <v>269.2</v>
      </c>
      <c r="J2942" s="5" t="n">
        <v>88</v>
      </c>
      <c r="K2942" s="3" t="inlineStr">
        <is>
          <t>카페 식당등 추천 ,  조망좋은 산뷰 , 산업단지 배후 ,소액투자추천</t>
        </is>
      </c>
      <c r="L2942" s="6">
        <f>HYPERLINK("https://fin.land.naver.com/articles/2652358311", "매물Link")</f>
        <v/>
      </c>
      <c r="M2942" s="6">
        <f>HYPERLINK("https://map.naver.com/p/search/전의면 읍내리 516", "지도Link")</f>
        <v/>
      </c>
      <c r="N2942" s="6">
        <f>HYPERLINK("http://www.eum.go.kr/web/ar/lu/luLandDet.jsp?pnu=3611037021105160000&amp;isNoScr=script&amp;mode=search", "토지이음")</f>
        <v/>
      </c>
      <c r="O2942" s="3" t="inlineStr">
        <is>
          <t>세종특별시</t>
        </is>
      </c>
      <c r="P2942" s="4" t="n">
        <v>1</v>
      </c>
      <c r="Q2942" s="4" t="n">
        <v>257.1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소로한면</t>
        </is>
      </c>
    </row>
    <row r="2943">
      <c r="A2943" s="3" t="inlineStr">
        <is>
          <t>전의면 읍내리 87-3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60000</v>
      </c>
      <c r="G2943" s="4" t="n">
        <v>1325</v>
      </c>
      <c r="H2943" s="4" t="n">
        <v>401</v>
      </c>
      <c r="I2943" s="5" t="n">
        <v>149.6</v>
      </c>
      <c r="J2943" s="5" t="n">
        <v>82.90000000000001</v>
      </c>
      <c r="K2943" s="3" t="inlineStr">
        <is>
          <t>2차도로접한 가격저렴한토지,1종일반주거지역,분할매매도 가능</t>
        </is>
      </c>
      <c r="L2943" s="6">
        <f>HYPERLINK("https://fin.land.naver.com/articles/2653409202", "매물Link")</f>
        <v/>
      </c>
      <c r="M2943" s="6">
        <f>HYPERLINK("https://map.naver.com/p/search/전의면 읍내리 87-3", "지도Link")</f>
        <v/>
      </c>
      <c r="N2943" s="6">
        <f>HYPERLINK("http://www.eum.go.kr/web/ar/lu/luLandDet.jsp?pnu=3611037021100870003&amp;isNoScr=script&amp;mode=search", "토지이음")</f>
        <v/>
      </c>
      <c r="O2943" s="3" t="inlineStr">
        <is>
          <t>신부다온</t>
        </is>
      </c>
      <c r="P2943" s="4" t="n">
        <v>1</v>
      </c>
      <c r="Q2943" s="4" t="n">
        <v>615.9</v>
      </c>
      <c r="R2943" s="3" t="inlineStr">
        <is>
          <t>지정되지않음</t>
        </is>
      </c>
      <c r="S2943" s="3" t="inlineStr">
        <is>
          <t>전기타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소로한면</t>
        </is>
      </c>
    </row>
    <row r="2944">
      <c r="A2944" s="3" t="inlineStr">
        <is>
          <t>전의면 읍내리 88-7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40700</v>
      </c>
      <c r="G2944" s="4" t="n">
        <v>507</v>
      </c>
      <c r="H2944" s="4" t="n">
        <v>153</v>
      </c>
      <c r="I2944" s="5" t="n">
        <v>266</v>
      </c>
      <c r="J2944" s="5" t="n">
        <v>99.5</v>
      </c>
      <c r="K2944" s="3" t="inlineStr">
        <is>
          <t>전의면 읍내리 1종 일반주거지역 대지</t>
        </is>
      </c>
      <c r="L2944" s="6">
        <f>HYPERLINK("https://fin.land.naver.com/articles/2651336458", "매물Link")</f>
        <v/>
      </c>
      <c r="M2944" s="6">
        <f>HYPERLINK("https://map.naver.com/p/search/전의면 읍내리 88-7", "지도Link")</f>
        <v/>
      </c>
      <c r="N2944" s="6">
        <f>HYPERLINK("http://www.eum.go.kr/web/ar/lu/luLandDet.jsp?pnu=3611037021100880007&amp;isNoScr=script&amp;mode=search", "토지이음")</f>
        <v/>
      </c>
      <c r="O2944" s="3" t="inlineStr">
        <is>
          <t>금강</t>
        </is>
      </c>
      <c r="P2944" s="4" t="n">
        <v>1</v>
      </c>
      <c r="Q2944" s="4" t="n">
        <v>507.8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조치원읍 교리 16-5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40000</v>
      </c>
      <c r="G2945" s="4" t="n">
        <v>207</v>
      </c>
      <c r="H2945" s="4" t="n">
        <v>63</v>
      </c>
      <c r="I2945" s="5" t="n">
        <v>634.9</v>
      </c>
      <c r="J2945" s="5" t="n">
        <v>206.5</v>
      </c>
      <c r="K2945" s="3" t="inlineStr">
        <is>
          <t>조치원역 가까운 주거지역 토지매매</t>
        </is>
      </c>
      <c r="L2945" s="6">
        <f>HYPERLINK("https://fin.land.naver.com/articles/2654530676", "매물Link")</f>
        <v/>
      </c>
      <c r="M2945" s="6">
        <f>HYPERLINK("https://map.naver.com/p/search/조치원읍 교리 16-5", "지도Link")</f>
        <v/>
      </c>
      <c r="N2945" s="6">
        <f>HYPERLINK("http://www.eum.go.kr/web/ar/lu/luLandDet.jsp?pnu=3611025024100160005&amp;isNoScr=script&amp;mode=search", "토지이음")</f>
        <v/>
      </c>
      <c r="O2945" s="3" t="inlineStr">
        <is>
          <t>김준희</t>
        </is>
      </c>
      <c r="P2945" s="4" t="n">
        <v>1</v>
      </c>
      <c r="Q2945" s="4" t="n">
        <v>103.5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세로장방</t>
        </is>
      </c>
      <c r="V2945" s="3" t="inlineStr">
        <is>
          <t>세로한면(가)</t>
        </is>
      </c>
    </row>
    <row r="2946">
      <c r="A2946" s="3" t="inlineStr">
        <is>
          <t>조치원읍 교리 18-11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42000</v>
      </c>
      <c r="G2946" s="4" t="n">
        <v>179</v>
      </c>
      <c r="H2946" s="4" t="n">
        <v>54</v>
      </c>
      <c r="I2946" s="5" t="n">
        <v>777.8</v>
      </c>
      <c r="J2946" s="5" t="n">
        <v>274.9</v>
      </c>
      <c r="K2946" s="3" t="inlineStr">
        <is>
          <t>nan</t>
        </is>
      </c>
      <c r="L2946" s="6">
        <f>HYPERLINK("https://fin.land.naver.com/articles/2653462749", "매물Link")</f>
        <v/>
      </c>
      <c r="M2946" s="6">
        <f>HYPERLINK("https://map.naver.com/p/search/조치원읍 교리 18-11", "지도Link")</f>
        <v/>
      </c>
      <c r="N2946" s="6">
        <f>HYPERLINK("http://www.eum.go.kr/web/ar/lu/luLandDet.jsp?pnu=3611025024100180011&amp;isNoScr=script&amp;mode=search", "토지이음")</f>
        <v/>
      </c>
      <c r="O2946" s="3" t="inlineStr">
        <is>
          <t>정인</t>
        </is>
      </c>
      <c r="P2946" s="4" t="n">
        <v>1</v>
      </c>
      <c r="Q2946" s="4" t="n">
        <v>179.5</v>
      </c>
      <c r="R2946" s="3" t="inlineStr">
        <is>
          <t>지정되지않음</t>
        </is>
      </c>
      <c r="S2946" s="3" t="inlineStr">
        <is>
          <t>주상기타</t>
        </is>
      </c>
      <c r="T2946" s="3" t="inlineStr">
        <is>
          <t>평지</t>
        </is>
      </c>
      <c r="U2946" s="3" t="inlineStr">
        <is>
          <t>세로장방</t>
        </is>
      </c>
      <c r="V2946" s="3" t="inlineStr">
        <is>
          <t>중로한면</t>
        </is>
      </c>
    </row>
    <row r="2947">
      <c r="A2947" s="3" t="inlineStr">
        <is>
          <t>조치원읍 교리 22-20</t>
        </is>
      </c>
      <c r="B2947" s="3" t="inlineStr">
        <is>
          <t>일반상업지역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100000</v>
      </c>
      <c r="G2947" s="4" t="n">
        <v>387</v>
      </c>
      <c r="H2947" s="4" t="n">
        <v>117</v>
      </c>
      <c r="I2947" s="5" t="n">
        <v>854.7</v>
      </c>
      <c r="J2947" s="5" t="n">
        <v>452.2</v>
      </c>
      <c r="K2947" s="3" t="inlineStr">
        <is>
          <t>nan</t>
        </is>
      </c>
      <c r="L2947" s="6">
        <f>HYPERLINK("https://fin.land.naver.com/articles/2652123797", "매물Link")</f>
        <v/>
      </c>
      <c r="M2947" s="6">
        <f>HYPERLINK("https://map.naver.com/p/search/조치원읍 교리 22-20", "지도Link")</f>
        <v/>
      </c>
      <c r="N2947" s="6">
        <f>HYPERLINK("http://www.eum.go.kr/web/ar/lu/luLandDet.jsp?pnu=3611025024100220020&amp;isNoScr=script&amp;mode=search", "토지이음")</f>
        <v/>
      </c>
      <c r="O2947" s="3" t="inlineStr">
        <is>
          <t>미스터홈즈강남지사</t>
        </is>
      </c>
      <c r="P2947" s="4" t="n">
        <v>1</v>
      </c>
      <c r="Q2947" s="4" t="n">
        <v>185.8</v>
      </c>
      <c r="R2947" s="3" t="inlineStr">
        <is>
          <t>지정되지않음</t>
        </is>
      </c>
      <c r="S2947" s="3" t="inlineStr">
        <is>
          <t>상업용</t>
        </is>
      </c>
      <c r="T2947" s="3" t="inlineStr">
        <is>
          <t>평지</t>
        </is>
      </c>
      <c r="U2947" s="3" t="inlineStr">
        <is>
          <t>세로장방</t>
        </is>
      </c>
      <c r="V2947" s="3" t="inlineStr">
        <is>
          <t>소로한면</t>
        </is>
      </c>
    </row>
    <row r="2948">
      <c r="A2948" s="3" t="inlineStr">
        <is>
          <t>조치원읍 남리 103-68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49000</v>
      </c>
      <c r="G2948" s="4" t="n">
        <v>396</v>
      </c>
      <c r="H2948" s="4" t="n">
        <v>120</v>
      </c>
      <c r="I2948" s="5" t="n">
        <v>408.3</v>
      </c>
      <c r="J2948" s="5" t="n">
        <v>166.9</v>
      </c>
      <c r="K2948" s="3" t="inlineStr">
        <is>
          <t>2차선변, 조치원역 도보권, 조치원도시재생뉴딜지역 근거리, 동서연결도로</t>
        </is>
      </c>
      <c r="L2948" s="6">
        <f>HYPERLINK("https://fin.land.naver.com/articles/2653295631", "매물Link")</f>
        <v/>
      </c>
      <c r="M2948" s="6">
        <f>HYPERLINK("https://map.naver.com/p/search/조치원읍 남리 103-68", "지도Link")</f>
        <v/>
      </c>
      <c r="N2948" s="6">
        <f>HYPERLINK("http://www.eum.go.kr/web/ar/lu/luLandDet.jsp?pnu=3611025027101030068&amp;isNoScr=script&amp;mode=search", "토지이음")</f>
        <v/>
      </c>
      <c r="O2948" s="3" t="inlineStr">
        <is>
          <t>세종공감</t>
        </is>
      </c>
      <c r="P2948" s="4" t="n">
        <v>3</v>
      </c>
      <c r="Q2948" s="4" t="n">
        <v>396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평지</t>
        </is>
      </c>
      <c r="U2948" s="3" t="inlineStr">
        <is>
          <t>세로장방</t>
        </is>
      </c>
      <c r="V2948" s="3" t="inlineStr">
        <is>
          <t>세로한면(가)</t>
        </is>
      </c>
    </row>
    <row r="2949">
      <c r="A2949" s="3" t="inlineStr">
        <is>
          <t>조치원읍 남리 307-2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250000</v>
      </c>
      <c r="G2949" s="4" t="n">
        <v>788</v>
      </c>
      <c r="H2949" s="4" t="n">
        <v>238</v>
      </c>
      <c r="I2949" s="5" t="n">
        <v>1050.4</v>
      </c>
      <c r="J2949" s="5" t="n">
        <v>366.6</v>
      </c>
      <c r="K2949" s="3" t="inlineStr">
        <is>
          <t>조치원 4차선 코너,대지238P,통건물 3동포함,사옥 병원등 추천</t>
        </is>
      </c>
      <c r="L2949" s="6">
        <f>HYPERLINK("https://fin.land.naver.com/articles/2656202490", "매물Link")</f>
        <v/>
      </c>
      <c r="M2949" s="6">
        <f>HYPERLINK("https://map.naver.com/p/search/조치원읍 남리 307-2", "지도Link")</f>
        <v/>
      </c>
      <c r="N2949" s="6">
        <f>HYPERLINK("http://www.eum.go.kr/web/ar/lu/luLandDet.jsp?pnu=3611025027103070002&amp;isNoScr=script&amp;mode=search", "토지이음")</f>
        <v/>
      </c>
      <c r="O2949" s="3" t="inlineStr">
        <is>
          <t>광장</t>
        </is>
      </c>
      <c r="P2949" s="4" t="n">
        <v>1</v>
      </c>
      <c r="Q2949" s="4" t="n">
        <v>211.4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중로각지</t>
        </is>
      </c>
    </row>
    <row r="2950">
      <c r="A2950" s="3" t="inlineStr">
        <is>
          <t>조치원읍 남리 347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33250</v>
      </c>
      <c r="G2950" s="4" t="n">
        <v>315</v>
      </c>
      <c r="H2950" s="4" t="n">
        <v>95</v>
      </c>
      <c r="I2950" s="5" t="n">
        <v>350</v>
      </c>
      <c r="J2950" s="5" t="n">
        <v>263.5</v>
      </c>
      <c r="K2950" s="3" t="inlineStr">
        <is>
          <t>남리 예쁜땅모양 주택및원룸 추천</t>
        </is>
      </c>
      <c r="L2950" s="6">
        <f>HYPERLINK("https://fin.land.naver.com/articles/2651708417", "매물Link")</f>
        <v/>
      </c>
      <c r="M2950" s="6">
        <f>HYPERLINK("https://map.naver.com/p/search/조치원읍 남리 347", "지도Link")</f>
        <v/>
      </c>
      <c r="N2950" s="6">
        <f>HYPERLINK("http://www.eum.go.kr/web/ar/lu/luLandDet.jsp?pnu=3611025027103470000&amp;isNoScr=script&amp;mode=search", "토지이음")</f>
        <v/>
      </c>
      <c r="O2950" s="3" t="inlineStr">
        <is>
          <t>OK수</t>
        </is>
      </c>
      <c r="P2950" s="4" t="n">
        <v>1</v>
      </c>
      <c r="Q2950" s="4" t="n">
        <v>315.7</v>
      </c>
      <c r="R2950" s="3" t="inlineStr">
        <is>
          <t>지정되지않음</t>
        </is>
      </c>
      <c r="S2950" s="3" t="inlineStr">
        <is>
          <t>주상기타</t>
        </is>
      </c>
      <c r="T2950" s="3" t="inlineStr">
        <is>
          <t>평지</t>
        </is>
      </c>
      <c r="U2950" s="3" t="inlineStr">
        <is>
          <t>정방형</t>
        </is>
      </c>
      <c r="V2950" s="3" t="inlineStr">
        <is>
          <t>세로한면(가)</t>
        </is>
      </c>
    </row>
    <row r="2951">
      <c r="A2951" s="3" t="inlineStr">
        <is>
          <t>조치원읍 남리 419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38000</v>
      </c>
      <c r="G2951" s="4" t="n">
        <v>353</v>
      </c>
      <c r="H2951" s="4" t="n">
        <v>107</v>
      </c>
      <c r="I2951" s="5" t="n">
        <v>355.1</v>
      </c>
      <c r="J2951" s="5" t="n">
        <v>170.3</v>
      </c>
      <c r="K2951" s="3" t="inlineStr">
        <is>
          <t>남리 저렴한 토지 다가구원룸,사옥,상가 추천</t>
        </is>
      </c>
      <c r="L2951" s="6">
        <f>HYPERLINK("https://fin.land.naver.com/articles/2655142624", "매물Link")</f>
        <v/>
      </c>
      <c r="M2951" s="6">
        <f>HYPERLINK("https://map.naver.com/p/search/조치원읍 남리 419", "지도Link")</f>
        <v/>
      </c>
      <c r="N2951" s="6">
        <f>HYPERLINK("http://www.eum.go.kr/web/ar/lu/luLandDet.jsp?pnu=3611025027104190000&amp;isNoScr=script&amp;mode=search",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352.6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세로한면(가)</t>
        </is>
      </c>
    </row>
    <row r="2952">
      <c r="A2952" s="3" t="inlineStr">
        <is>
          <t>조치원읍 남리 436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21000</v>
      </c>
      <c r="G2952" s="4" t="n">
        <v>225</v>
      </c>
      <c r="H2952" s="4" t="n">
        <v>68</v>
      </c>
      <c r="I2952" s="5" t="n">
        <v>308.8</v>
      </c>
      <c r="J2952" s="5" t="n">
        <v>321.7</v>
      </c>
      <c r="K2952" s="3" t="inlineStr">
        <is>
          <t>급매, 대지, 2차선 도로 접함</t>
        </is>
      </c>
      <c r="L2952" s="6">
        <f>HYPERLINK("https://fin.land.naver.com/articles/2655426254", "매물Link")</f>
        <v/>
      </c>
      <c r="M2952" s="6">
        <f>HYPERLINK("https://map.naver.com/p/search/조치원읍 남리 436", "지도Link")</f>
        <v/>
      </c>
      <c r="N2952" s="6">
        <f>HYPERLINK("http://www.eum.go.kr/web/ar/lu/luLandDet.jsp?pnu=3611025027104360000&amp;isNoScr=script&amp;mode=search", "토지이음")</f>
        <v/>
      </c>
      <c r="O2952" s="3" t="inlineStr">
        <is>
          <t>KB세종</t>
        </is>
      </c>
      <c r="P2952" s="4" t="n">
        <v>3</v>
      </c>
      <c r="Q2952" s="4" t="n">
        <v>225.8</v>
      </c>
      <c r="R2952" s="3" t="inlineStr">
        <is>
          <t>지정되지않음</t>
        </is>
      </c>
      <c r="S2952" s="3" t="inlineStr">
        <is>
          <t>상업나지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소로한면</t>
        </is>
      </c>
    </row>
    <row r="2953">
      <c r="A2953" s="3" t="inlineStr">
        <is>
          <t>조치원읍 번암리 121-4</t>
        </is>
      </c>
      <c r="B2953" s="3" t="inlineStr">
        <is>
          <t>일반공업지역</t>
        </is>
      </c>
      <c r="C2953" s="3" t="inlineStr">
        <is>
          <t>잡종지</t>
        </is>
      </c>
      <c r="D2953" s="3" t="inlineStr">
        <is>
          <t>잡종지</t>
        </is>
      </c>
      <c r="E2953" s="3" t="inlineStr">
        <is>
          <t>매매</t>
        </is>
      </c>
      <c r="F2953" s="4" t="n">
        <v>280000</v>
      </c>
      <c r="G2953" s="4" t="n">
        <v>1531</v>
      </c>
      <c r="H2953" s="4" t="n">
        <v>463</v>
      </c>
      <c r="I2953" s="5" t="n">
        <v>604.8</v>
      </c>
      <c r="J2953" s="5" t="n">
        <v>201.1</v>
      </c>
      <c r="K2953" s="3" t="inlineStr">
        <is>
          <t>세종산단과 오송산단을 잇는 대로 접, 광고 시인성 뛰어남, 적극조율</t>
        </is>
      </c>
      <c r="L2953" s="6">
        <f>HYPERLINK("https://fin.land.naver.com/articles/2654135487", "매물Link")</f>
        <v/>
      </c>
      <c r="M2953" s="6">
        <f>HYPERLINK("https://map.naver.com/p/search/조치원읍 번암리 121-4", "지도Link")</f>
        <v/>
      </c>
      <c r="N2953" s="6">
        <f>HYPERLINK("http://www.eum.go.kr/web/ar/lu/luLandDet.jsp?pnu=3611025031101210004&amp;isNoScr=script&amp;mode=search", "토지이음")</f>
        <v/>
      </c>
      <c r="O2953" s="3" t="inlineStr">
        <is>
          <t>새롬시티</t>
        </is>
      </c>
      <c r="P2953" s="4" t="n">
        <v>1</v>
      </c>
      <c r="Q2953" s="4" t="n">
        <v>1531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광대세각</t>
        </is>
      </c>
    </row>
    <row r="2954">
      <c r="A2954" s="3" t="inlineStr">
        <is>
          <t>조치원읍 번암리 133</t>
        </is>
      </c>
      <c r="B2954" s="3" t="inlineStr">
        <is>
          <t>제2종일반주거지역</t>
        </is>
      </c>
      <c r="C2954" s="3" t="inlineStr">
        <is>
          <t>주유소용지</t>
        </is>
      </c>
      <c r="D2954" s="3" t="inlineStr">
        <is>
          <t>주유소용지</t>
        </is>
      </c>
      <c r="E2954" s="3" t="inlineStr">
        <is>
          <t>매매</t>
        </is>
      </c>
      <c r="F2954" s="4" t="n">
        <v>170000</v>
      </c>
      <c r="G2954" s="4" t="n">
        <v>542</v>
      </c>
      <c r="H2954" s="4" t="n">
        <v>164</v>
      </c>
      <c r="I2954" s="5" t="n">
        <v>1036.6</v>
      </c>
      <c r="J2954" s="5" t="n">
        <v>380.8</v>
      </c>
      <c r="K2954" s="3" t="inlineStr">
        <is>
          <t>최고의 입지, 대도로 접합, 진입로 있음, 명당,현재 주유소부지.</t>
        </is>
      </c>
      <c r="L2954" s="6">
        <f>HYPERLINK("https://fin.land.naver.com/articles/2653735754", "매물Link")</f>
        <v/>
      </c>
      <c r="M2954" s="6">
        <f>HYPERLINK("https://map.naver.com/p/search/조치원읍 번암리 133", "지도Link")</f>
        <v/>
      </c>
      <c r="N2954" s="6">
        <f>HYPERLINK("http://www.eum.go.kr/web/ar/lu/luLandDet.jsp?pnu=3611025031101330000&amp;isNoScr=script&amp;mode=search", "토지이음")</f>
        <v/>
      </c>
      <c r="O2954" s="3" t="inlineStr">
        <is>
          <t>송죽</t>
        </is>
      </c>
      <c r="P2954" s="4" t="n">
        <v>1</v>
      </c>
      <c r="Q2954" s="4" t="n">
        <v>542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광대로한면</t>
        </is>
      </c>
    </row>
    <row r="2955">
      <c r="A2955" s="3" t="inlineStr">
        <is>
          <t>조치원읍 번암리 171-48</t>
        </is>
      </c>
      <c r="B2955" s="3" t="inlineStr">
        <is>
          <t>일반공업지역</t>
        </is>
      </c>
      <c r="C2955" s="3" t="inlineStr">
        <is>
          <t>과수원</t>
        </is>
      </c>
      <c r="D2955" s="3" t="inlineStr">
        <is>
          <t>과수원</t>
        </is>
      </c>
      <c r="E2955" s="3" t="inlineStr">
        <is>
          <t>매매</t>
        </is>
      </c>
      <c r="F2955" s="4" t="n">
        <v>121800</v>
      </c>
      <c r="G2955" s="4" t="n">
        <v>1007</v>
      </c>
      <c r="H2955" s="4" t="n">
        <v>305</v>
      </c>
      <c r="I2955" s="5" t="n">
        <v>399.3</v>
      </c>
      <c r="J2955" s="5" t="n">
        <v>49.5</v>
      </c>
      <c r="K2955" s="3" t="inlineStr">
        <is>
          <t>대로변 광고효과 소로1류1012m접함 일반공업지역 공장 근생적합</t>
        </is>
      </c>
      <c r="L2955" s="6">
        <f>HYPERLINK("https://fin.land.naver.com/articles/2651927674", "매물Link")</f>
        <v/>
      </c>
      <c r="M2955" s="6">
        <f>HYPERLINK("https://map.naver.com/p/search/조치원읍 번암리 171-48", "지도Link")</f>
        <v/>
      </c>
      <c r="N2955" s="6">
        <f>HYPERLINK("http://www.eum.go.kr/web/ar/lu/luLandDet.jsp?pnu=3611025031101710048&amp;isNoScr=script&amp;mode=search", "토지이음")</f>
        <v/>
      </c>
      <c r="O2955" s="3" t="inlineStr">
        <is>
          <t>세종이룸</t>
        </is>
      </c>
      <c r="P2955" s="4" t="n">
        <v>1</v>
      </c>
      <c r="Q2955" s="4" t="n">
        <v>598</v>
      </c>
      <c r="R2955" s="3" t="inlineStr">
        <is>
          <t>지정되지않음</t>
        </is>
      </c>
      <c r="S2955" s="3" t="inlineStr">
        <is>
          <t>과수원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세로한면(불)</t>
        </is>
      </c>
    </row>
    <row r="2956">
      <c r="A2956" s="3" t="inlineStr">
        <is>
          <t>조치원읍 번암리 171-48</t>
        </is>
      </c>
      <c r="B2956" s="3" t="inlineStr">
        <is>
          <t>일반공업지역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158400</v>
      </c>
      <c r="G2956" s="4" t="n">
        <v>1007</v>
      </c>
      <c r="H2956" s="4" t="n">
        <v>305</v>
      </c>
      <c r="I2956" s="5" t="n">
        <v>519.3</v>
      </c>
      <c r="J2956" s="5" t="n">
        <v>49.5</v>
      </c>
      <c r="K2956" s="3" t="inlineStr">
        <is>
          <t>조율가,대도로인접,소방포장도로 접,노출효과 좋음,근린상가,소형공장등 추천</t>
        </is>
      </c>
      <c r="L2956" s="6">
        <f>HYPERLINK("https://fin.land.naver.com/articles/2656232214", "매물Link")</f>
        <v/>
      </c>
      <c r="M2956" s="6">
        <f>HYPERLINK("https://map.naver.com/p/search/조치원읍 번암리 171-48", "지도Link")</f>
        <v/>
      </c>
      <c r="N2956" s="6">
        <f>HYPERLINK("http://www.eum.go.kr/web/ar/lu/luLandDet.jsp?pnu=3611025031101710048&amp;isNoScr=script&amp;mode=search", "토지이음")</f>
        <v/>
      </c>
      <c r="O2956" s="3" t="inlineStr">
        <is>
          <t>세종지원</t>
        </is>
      </c>
      <c r="P2956" s="4" t="n">
        <v>1</v>
      </c>
      <c r="Q2956" s="4" t="n">
        <v>598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세로한면(불)</t>
        </is>
      </c>
    </row>
    <row r="2957">
      <c r="A2957" s="3" t="inlineStr">
        <is>
          <t>조치원읍 번암리 171-49</t>
        </is>
      </c>
      <c r="B2957" s="3" t="inlineStr">
        <is>
          <t>일반공업지역</t>
        </is>
      </c>
      <c r="C2957" s="3" t="inlineStr">
        <is>
          <t>과수원</t>
        </is>
      </c>
      <c r="D2957" s="3" t="inlineStr">
        <is>
          <t>과수원</t>
        </is>
      </c>
      <c r="E2957" s="3" t="inlineStr">
        <is>
          <t>매매</t>
        </is>
      </c>
      <c r="F2957" s="4" t="n">
        <v>178880</v>
      </c>
      <c r="G2957" s="4" t="n">
        <v>1137</v>
      </c>
      <c r="H2957" s="4" t="n">
        <v>344</v>
      </c>
      <c r="I2957" s="5" t="n">
        <v>520</v>
      </c>
      <c r="J2957" s="5" t="n">
        <v>44</v>
      </c>
      <c r="K2957" s="3" t="inlineStr">
        <is>
          <t>조율가,대도로근접,소방포장도로 접,노출효과 좋음,근린상가,소형공장등 추천</t>
        </is>
      </c>
      <c r="L2957" s="6">
        <f>HYPERLINK("https://fin.land.naver.com/articles/2656235268", "매물Link")</f>
        <v/>
      </c>
      <c r="M2957" s="6">
        <f>HYPERLINK("https://map.naver.com/p/search/조치원읍 번암리 171-49", "지도Link")</f>
        <v/>
      </c>
      <c r="N2957" s="6">
        <f>HYPERLINK("http://www.eum.go.kr/web/ar/lu/luLandDet.jsp?pnu=3611025031101710049&amp;isNoScr=script&amp;mode=search", "토지이음")</f>
        <v/>
      </c>
      <c r="O2957" s="3" t="inlineStr">
        <is>
          <t>세종지원</t>
        </is>
      </c>
      <c r="P2957" s="4" t="n">
        <v>1</v>
      </c>
      <c r="Q2957" s="4" t="n">
        <v>1137</v>
      </c>
      <c r="R2957" s="3" t="inlineStr">
        <is>
          <t>지정되지않음</t>
        </is>
      </c>
      <c r="S2957" s="3" t="inlineStr">
        <is>
          <t>과수원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조치원읍 번암리 2-4</t>
        </is>
      </c>
      <c r="B2958" s="3" t="inlineStr">
        <is>
          <t>보전녹지지역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186000</v>
      </c>
      <c r="G2958" s="4" t="n">
        <v>15410</v>
      </c>
      <c r="H2958" s="4" t="n">
        <v>4662</v>
      </c>
      <c r="I2958" s="5" t="n">
        <v>39.9</v>
      </c>
      <c r="J2958" s="5" t="n">
        <v>59.8</v>
      </c>
      <c r="K2958" s="3" t="inlineStr">
        <is>
          <t>급매, 번암리 산업시설,공장다수,향후 활용가능성 높은토지</t>
        </is>
      </c>
      <c r="L2958" s="6">
        <f>HYPERLINK("https://fin.land.naver.com/articles/2651070894", "매물Link")</f>
        <v/>
      </c>
      <c r="M2958" s="6">
        <f>HYPERLINK("https://map.naver.com/p/search/조치원읍 번암리 2-4", "지도Link")</f>
        <v/>
      </c>
      <c r="N2958" s="6">
        <f>HYPERLINK("http://www.eum.go.kr/web/ar/lu/luLandDet.jsp?pnu=3611025031100020004&amp;isNoScr=script&amp;mode=search", "토지이음")</f>
        <v/>
      </c>
      <c r="O2958" s="3" t="inlineStr">
        <is>
          <t>다옴</t>
        </is>
      </c>
      <c r="P2958" s="4" t="n">
        <v>1</v>
      </c>
      <c r="Q2958" s="4" t="n">
        <v>10154</v>
      </c>
      <c r="R2958" s="3" t="inlineStr">
        <is>
          <t>지정되지않음</t>
        </is>
      </c>
      <c r="S2958" s="3" t="inlineStr">
        <is>
          <t>과수원</t>
        </is>
      </c>
      <c r="T2958" s="3" t="inlineStr">
        <is>
          <t>완경사</t>
        </is>
      </c>
      <c r="U2958" s="3" t="inlineStr">
        <is>
          <t>자루형</t>
        </is>
      </c>
      <c r="V2958" s="3" t="inlineStr">
        <is>
          <t>세로한면(가)</t>
        </is>
      </c>
    </row>
    <row r="2959">
      <c r="A2959" s="3" t="inlineStr">
        <is>
          <t>조치원읍 번암리 2-4</t>
        </is>
      </c>
      <c r="B2959" s="3" t="inlineStr">
        <is>
          <t>보전녹지지역</t>
        </is>
      </c>
      <c r="C2959" s="3" t="inlineStr">
        <is>
          <t>임야</t>
        </is>
      </c>
      <c r="D2959" s="3" t="inlineStr">
        <is>
          <t>임야</t>
        </is>
      </c>
      <c r="E2959" s="3" t="inlineStr">
        <is>
          <t>매매</t>
        </is>
      </c>
      <c r="F2959" s="4" t="n">
        <v>186400</v>
      </c>
      <c r="G2959" s="4" t="n">
        <v>15410</v>
      </c>
      <c r="H2959" s="4" t="n">
        <v>4662</v>
      </c>
      <c r="I2959" s="5" t="n">
        <v>40</v>
      </c>
      <c r="J2959" s="5" t="n">
        <v>59.8</v>
      </c>
      <c r="K2959" s="3" t="inlineStr">
        <is>
          <t>오송역 10분대국가산단 배후, 완경사 대형토지</t>
        </is>
      </c>
      <c r="L2959" s="6">
        <f>HYPERLINK("https://fin.land.naver.com/articles/2653296345", "매물Link")</f>
        <v/>
      </c>
      <c r="M2959" s="6">
        <f>HYPERLINK("https://map.naver.com/p/search/조치원읍 번암리 2-4", "지도Link")</f>
        <v/>
      </c>
      <c r="N2959" s="6">
        <f>HYPERLINK("http://www.eum.go.kr/web/ar/lu/luLandDet.jsp?pnu=3611025031100020004&amp;isNoScr=script&amp;mode=search", "토지이음")</f>
        <v/>
      </c>
      <c r="O2959" s="3" t="inlineStr">
        <is>
          <t>세종소담황금</t>
        </is>
      </c>
      <c r="P2959" s="4" t="n">
        <v>1</v>
      </c>
      <c r="Q2959" s="4" t="n">
        <v>10154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자루형</t>
        </is>
      </c>
      <c r="V2959" s="3" t="inlineStr">
        <is>
          <t>세로한면(가)</t>
        </is>
      </c>
    </row>
    <row r="2960">
      <c r="A2960" s="3" t="inlineStr">
        <is>
          <t>조치원읍 번암리 66-1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100000</v>
      </c>
      <c r="G2960" s="4" t="n">
        <v>1084</v>
      </c>
      <c r="H2960" s="4" t="n">
        <v>328</v>
      </c>
      <c r="I2960" s="5" t="n">
        <v>304.9</v>
      </c>
      <c r="J2960" s="5" t="n">
        <v>120.7</v>
      </c>
      <c r="K2960" s="3" t="inlineStr">
        <is>
          <t>죽림리 2차선 접한 저렴한토지 상업용건물 추천</t>
        </is>
      </c>
      <c r="L2960" s="6">
        <f>HYPERLINK("https://fin.land.naver.com/articles/2651708138", "매물Link")</f>
        <v/>
      </c>
      <c r="M2960" s="6">
        <f>HYPERLINK("https://map.naver.com/p/search/조치원읍 번암리 66-1", "지도Link")</f>
        <v/>
      </c>
      <c r="N2960" s="6">
        <f>HYPERLINK("http://www.eum.go.kr/web/ar/lu/luLandDet.jsp?pnu=3611025031100660001&amp;isNoScr=script&amp;mode=search", "토지이음")</f>
        <v/>
      </c>
      <c r="O2960" s="3" t="inlineStr">
        <is>
          <t>OK수</t>
        </is>
      </c>
      <c r="P2960" s="4" t="n">
        <v>1</v>
      </c>
      <c r="Q2960" s="4" t="n">
        <v>500</v>
      </c>
      <c r="R2960" s="3" t="inlineStr">
        <is>
          <t>지정되지않음</t>
        </is>
      </c>
      <c r="S2960" s="3" t="inlineStr">
        <is>
          <t>전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번암리 86-1</t>
        </is>
      </c>
      <c r="B2961" s="3" t="inlineStr">
        <is>
          <t>제2종일반주거지역</t>
        </is>
      </c>
      <c r="C2961" s="3" t="inlineStr">
        <is>
          <t>과수원</t>
        </is>
      </c>
      <c r="D2961" s="3" t="inlineStr">
        <is>
          <t>대</t>
        </is>
      </c>
      <c r="E2961" s="3" t="inlineStr">
        <is>
          <t>매매</t>
        </is>
      </c>
      <c r="F2961" s="4" t="n">
        <v>50000</v>
      </c>
      <c r="G2961" s="4" t="n">
        <v>331</v>
      </c>
      <c r="H2961" s="4" t="n">
        <v>100</v>
      </c>
      <c r="I2961" s="5" t="n">
        <v>500</v>
      </c>
      <c r="J2961" s="5" t="n">
        <v>190.1</v>
      </c>
      <c r="K2961" s="3" t="inlineStr">
        <is>
          <t>초기 투자 부담 적고 활용도 높은 규모</t>
        </is>
      </c>
      <c r="L2961" s="6">
        <f>HYPERLINK("https://fin.land.naver.com/articles/2655184087", "매물Link")</f>
        <v/>
      </c>
      <c r="M2961" s="6">
        <f>HYPERLINK("https://map.naver.com/p/search/조치원읍 번암리 86-1", "지도Link")</f>
        <v/>
      </c>
      <c r="N2961" s="6">
        <f>HYPERLINK("http://www.eum.go.kr/web/ar/lu/luLandDet.jsp?pnu=3611025031100860001&amp;isNoScr=script&amp;mode=search", "토지이음")</f>
        <v/>
      </c>
      <c r="O2961" s="3" t="inlineStr">
        <is>
          <t>더KEY</t>
        </is>
      </c>
      <c r="P2961" s="4" t="n">
        <v>1</v>
      </c>
      <c r="Q2961" s="4" t="n">
        <v>331</v>
      </c>
      <c r="R2961" s="3" t="inlineStr">
        <is>
          <t>지정되지않음</t>
        </is>
      </c>
      <c r="S2961" s="3" t="inlineStr">
        <is>
          <t>과수원</t>
        </is>
      </c>
      <c r="T2961" s="3" t="inlineStr">
        <is>
          <t>완경사</t>
        </is>
      </c>
      <c r="U2961" s="3" t="inlineStr">
        <is>
          <t>사다리형</t>
        </is>
      </c>
      <c r="V2961" s="3" t="inlineStr">
        <is>
          <t>소로한면</t>
        </is>
      </c>
    </row>
    <row r="2962">
      <c r="A2962" s="3" t="inlineStr">
        <is>
          <t>조치원읍 번암리 86-3</t>
        </is>
      </c>
      <c r="B2962" s="3" t="inlineStr">
        <is>
          <t>제2종일반주거지역</t>
        </is>
      </c>
      <c r="C2962" s="3" t="inlineStr">
        <is>
          <t>과수원</t>
        </is>
      </c>
      <c r="D2962" s="3" t="inlineStr">
        <is>
          <t>과수원</t>
        </is>
      </c>
      <c r="E2962" s="3" t="inlineStr">
        <is>
          <t>매매</t>
        </is>
      </c>
      <c r="F2962" s="4" t="n">
        <v>356000</v>
      </c>
      <c r="G2962" s="4" t="n">
        <v>2934</v>
      </c>
      <c r="H2962" s="4" t="n">
        <v>888</v>
      </c>
      <c r="I2962" s="5" t="n">
        <v>400.9</v>
      </c>
      <c r="J2962" s="5" t="n">
        <v>181.1</v>
      </c>
      <c r="K2962" s="3" t="inlineStr">
        <is>
          <t>도로접도 우수한 조치원 제2종주거 2,934㎡ 일괄부지</t>
        </is>
      </c>
      <c r="L2962" s="6">
        <f>HYPERLINK("https://fin.land.naver.com/articles/2653049898", "매물Link")</f>
        <v/>
      </c>
      <c r="M2962" s="6">
        <f>HYPERLINK("https://map.naver.com/p/search/조치원읍 번암리 86-3", "지도Link")</f>
        <v/>
      </c>
      <c r="N2962" s="6">
        <f>HYPERLINK("http://www.eum.go.kr/web/ar/lu/luLandDet.jsp?pnu=3611025031100860003&amp;isNoScr=script&amp;mode=search", "토지이음")</f>
        <v/>
      </c>
      <c r="O2962" s="3" t="inlineStr">
        <is>
          <t>세종소담황금</t>
        </is>
      </c>
      <c r="P2962" s="4" t="n">
        <v>1</v>
      </c>
      <c r="Q2962" s="4" t="n">
        <v>980</v>
      </c>
      <c r="R2962" s="3" t="inlineStr">
        <is>
          <t>지정되지않음</t>
        </is>
      </c>
      <c r="S2962" s="3" t="inlineStr">
        <is>
          <t>과수원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소로한면</t>
        </is>
      </c>
    </row>
    <row r="2963">
      <c r="A2963" s="3" t="inlineStr">
        <is>
          <t>조치원읍 번암리 96-2</t>
        </is>
      </c>
      <c r="B2963" s="3" t="inlineStr">
        <is>
          <t>제2종일반주거지역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180000</v>
      </c>
      <c r="G2963" s="4" t="n">
        <v>943</v>
      </c>
      <c r="H2963" s="4" t="n">
        <v>285</v>
      </c>
      <c r="I2963" s="5" t="n">
        <v>631.6</v>
      </c>
      <c r="J2963" s="5" t="n">
        <v>222.5</v>
      </c>
      <c r="K2963" s="3" t="inlineStr">
        <is>
          <t>도시지역내 2종일반주거지역 토지</t>
        </is>
      </c>
      <c r="L2963" s="6">
        <f>HYPERLINK("https://fin.land.naver.com/articles/2650856620", "매물Link")</f>
        <v/>
      </c>
      <c r="M2963" s="6">
        <f>HYPERLINK("https://map.naver.com/p/search/조치원읍 번암리 96-2", "지도Link")</f>
        <v/>
      </c>
      <c r="N2963" s="6">
        <f>HYPERLINK("http://www.eum.go.kr/web/ar/lu/luLandDet.jsp?pnu=3611025031100960002&amp;isNoScr=script&amp;mode=search", "토지이음")</f>
        <v/>
      </c>
      <c r="O2963" s="3" t="inlineStr">
        <is>
          <t>세종대박</t>
        </is>
      </c>
      <c r="P2963" s="4" t="n">
        <v>1</v>
      </c>
      <c r="Q2963" s="4" t="n">
        <v>943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중로한면</t>
        </is>
      </c>
    </row>
    <row r="2964">
      <c r="A2964" s="3" t="inlineStr">
        <is>
          <t>조치원읍 봉산리 108-1</t>
        </is>
      </c>
      <c r="B2964" s="3" t="inlineStr">
        <is>
          <t>자연녹지지역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245000</v>
      </c>
      <c r="G2964" s="4" t="n">
        <v>2188</v>
      </c>
      <c r="H2964" s="4" t="n">
        <v>662</v>
      </c>
      <c r="I2964" s="5" t="n">
        <v>370.1</v>
      </c>
      <c r="J2964" s="5" t="n">
        <v>153.9</v>
      </c>
      <c r="K2964" s="3" t="inlineStr">
        <is>
          <t>추천. 조치원 근생용지 추천</t>
        </is>
      </c>
      <c r="L2964" s="6">
        <f>HYPERLINK("https://fin.land.naver.com/articles/2651923205", "매물Link")</f>
        <v/>
      </c>
      <c r="M2964" s="6">
        <f>HYPERLINK("https://map.naver.com/p/search/조치원읍 봉산리 108-1", "지도Link")</f>
        <v/>
      </c>
      <c r="N2964" s="6">
        <f>HYPERLINK("http://www.eum.go.kr/web/ar/lu/luLandDet.jsp?pnu=3611025033101080001&amp;isNoScr=script&amp;mode=search", "토지이음")</f>
        <v/>
      </c>
      <c r="O2964" s="3" t="inlineStr">
        <is>
          <t>강아지풀</t>
        </is>
      </c>
      <c r="P2964" s="4" t="n">
        <v>1</v>
      </c>
      <c r="Q2964" s="4" t="n">
        <v>2188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소로한면</t>
        </is>
      </c>
    </row>
    <row r="2965">
      <c r="A2965" s="3" t="inlineStr">
        <is>
          <t>조치원읍 봉산리 171-5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140000</v>
      </c>
      <c r="G2965" s="4" t="n">
        <v>1695</v>
      </c>
      <c r="H2965" s="4" t="n">
        <v>513</v>
      </c>
      <c r="I2965" s="5" t="n">
        <v>272.9</v>
      </c>
      <c r="J2965" s="5" t="n">
        <v>135.2</v>
      </c>
      <c r="K2965" s="3" t="inlineStr">
        <is>
          <t>세종시 조치원읍 봉산리 토지 2필지 일괄매매입니다.</t>
        </is>
      </c>
      <c r="L2965" s="6">
        <f>HYPERLINK("https://fin.land.naver.com/articles/2654882877", "매물Link")</f>
        <v/>
      </c>
      <c r="M2965" s="6">
        <f>HYPERLINK("https://map.naver.com/p/search/조치원읍 봉산리 171-5", "지도Link")</f>
        <v/>
      </c>
      <c r="N2965" s="6">
        <f>HYPERLINK("http://www.eum.go.kr/web/ar/lu/luLandDet.jsp?pnu=3611025033101710005&amp;isNoScr=script&amp;mode=search",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499</v>
      </c>
      <c r="R2965" s="3" t="inlineStr">
        <is>
          <t>지정되지않음</t>
        </is>
      </c>
      <c r="S2965" s="3" t="inlineStr">
        <is>
          <t>답창고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중로한면</t>
        </is>
      </c>
    </row>
    <row r="2966">
      <c r="A2966" s="3" t="inlineStr">
        <is>
          <t>조치원읍 봉산리 224</t>
        </is>
      </c>
      <c r="B2966" s="3" t="inlineStr">
        <is>
          <t>자연녹지지역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70000</v>
      </c>
      <c r="G2966" s="4" t="n">
        <v>1756</v>
      </c>
      <c r="H2966" s="4" t="n">
        <v>531</v>
      </c>
      <c r="I2966" s="5" t="n">
        <v>131.8</v>
      </c>
      <c r="J2966" s="5" t="n">
        <v>70.90000000000001</v>
      </c>
      <c r="K2966" s="3" t="inlineStr">
        <is>
          <t>위치가 곧 미래입니다 가격 협상 빠르게 해 주신데요</t>
        </is>
      </c>
      <c r="L2966" s="6">
        <f>HYPERLINK("https://fin.land.naver.com/articles/2654324247", "매물Link")</f>
        <v/>
      </c>
      <c r="M2966" s="6">
        <f>HYPERLINK("https://map.naver.com/p/search/조치원읍 봉산리 224", "지도Link")</f>
        <v/>
      </c>
      <c r="N2966" s="6">
        <f>HYPERLINK("http://www.eum.go.kr/web/ar/lu/luLandDet.jsp?pnu=3611025033102240000&amp;isNoScr=script&amp;mode=search", "토지이음")</f>
        <v/>
      </c>
      <c r="O2966" s="3" t="inlineStr">
        <is>
          <t>세종시삼성래미안</t>
        </is>
      </c>
      <c r="P2966" s="4" t="n">
        <v>1</v>
      </c>
      <c r="Q2966" s="4" t="n">
        <v>1756</v>
      </c>
      <c r="R2966" s="3" t="inlineStr">
        <is>
          <t>지정되지않음</t>
        </is>
      </c>
      <c r="S2966" s="3" t="inlineStr">
        <is>
          <t>전기타</t>
        </is>
      </c>
      <c r="T2966" s="3" t="inlineStr">
        <is>
          <t>완경사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조치원읍 봉산리 262-5</t>
        </is>
      </c>
      <c r="B2967" s="3" t="inlineStr">
        <is>
          <t>자연녹지지역</t>
        </is>
      </c>
      <c r="C2967" s="3" t="inlineStr">
        <is>
          <t>답</t>
        </is>
      </c>
      <c r="D2967" s="3" t="inlineStr">
        <is>
          <t>답</t>
        </is>
      </c>
      <c r="E2967" s="3" t="inlineStr">
        <is>
          <t>매매</t>
        </is>
      </c>
      <c r="F2967" s="4" t="n">
        <v>50000</v>
      </c>
      <c r="G2967" s="4" t="n">
        <v>760</v>
      </c>
      <c r="H2967" s="4" t="n">
        <v>230</v>
      </c>
      <c r="I2967" s="5" t="n">
        <v>217.4</v>
      </c>
      <c r="J2967" s="5" t="n">
        <v>95.5</v>
      </c>
      <c r="K2967" s="3" t="inlineStr">
        <is>
          <t>투자가치가 높은 세종시 조치원읍 봉산리 토지매매</t>
        </is>
      </c>
      <c r="L2967" s="6">
        <f>HYPERLINK("https://fin.land.naver.com/articles/2653218031", "매물Link")</f>
        <v/>
      </c>
      <c r="M2967" s="6">
        <f>HYPERLINK("https://map.naver.com/p/search/조치원읍 봉산리 262-5", "지도Link")</f>
        <v/>
      </c>
      <c r="N2967" s="6">
        <f>HYPERLINK("http://www.eum.go.kr/web/ar/lu/luLandDet.jsp?pnu=3611025033102620005&amp;isNoScr=script&amp;mode=search", "토지이음")</f>
        <v/>
      </c>
      <c r="O2967" s="3" t="inlineStr">
        <is>
          <t>비전</t>
        </is>
      </c>
      <c r="P2967" s="4" t="n">
        <v>1</v>
      </c>
      <c r="Q2967" s="4" t="n">
        <v>760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소로각지</t>
        </is>
      </c>
    </row>
    <row r="2968">
      <c r="A2968" s="3" t="inlineStr">
        <is>
          <t>조치원읍 봉산리 270-2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110000</v>
      </c>
      <c r="G2968" s="4" t="n">
        <v>774</v>
      </c>
      <c r="H2968" s="4" t="n">
        <v>234</v>
      </c>
      <c r="I2968" s="5" t="n">
        <v>470.1</v>
      </c>
      <c r="J2968" s="5" t="n">
        <v>169.9</v>
      </c>
      <c r="K2968" s="3" t="inlineStr">
        <is>
          <t>가격협의가능,2차선도로접, 개발호재지역근접, 투자용추천</t>
        </is>
      </c>
      <c r="L2968" s="6">
        <f>HYPERLINK("https://fin.land.naver.com/articles/2653555232", "매물Link")</f>
        <v/>
      </c>
      <c r="M2968" s="6">
        <f>HYPERLINK("https://map.naver.com/p/search/조치원읍 봉산리 270-2", "지도Link")</f>
        <v/>
      </c>
      <c r="N2968" s="6">
        <f>HYPERLINK("http://www.eum.go.kr/web/ar/lu/luLandDet.jsp?pnu=3611025033102700002&amp;isNoScr=script&amp;mode=search", "토지이음")</f>
        <v/>
      </c>
      <c r="O2968" s="3" t="inlineStr">
        <is>
          <t>현대아이파크</t>
        </is>
      </c>
      <c r="P2968" s="4" t="n">
        <v>1</v>
      </c>
      <c r="Q2968" s="4" t="n">
        <v>774</v>
      </c>
      <c r="R2968" s="3" t="inlineStr">
        <is>
          <t>지정되지않음</t>
        </is>
      </c>
      <c r="S2968" s="3" t="inlineStr">
        <is>
          <t>주거기타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소로각지</t>
        </is>
      </c>
    </row>
    <row r="2969">
      <c r="A2969" s="3" t="inlineStr">
        <is>
          <t>조치원읍 봉산리 273-2</t>
        </is>
      </c>
      <c r="B2969" s="3" t="inlineStr">
        <is>
          <t>계획관리지역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180000</v>
      </c>
      <c r="G2969" s="4" t="n">
        <v>1949</v>
      </c>
      <c r="H2969" s="4" t="n">
        <v>590</v>
      </c>
      <c r="I2969" s="5" t="n">
        <v>305.1</v>
      </c>
      <c r="J2969" s="5" t="n">
        <v>74.40000000000001</v>
      </c>
      <c r="K2969" s="3" t="inlineStr">
        <is>
          <t>봉산리  귀한 계획관리지역  2차선도로 접.토지거래허가구역. 투자추천매물</t>
        </is>
      </c>
      <c r="L2969" s="6">
        <f>HYPERLINK("https://fin.land.naver.com/articles/2652950737", "매물Link")</f>
        <v/>
      </c>
      <c r="M2969" s="6">
        <f>HYPERLINK("https://map.naver.com/p/search/조치원읍 봉산리 273-2", "지도Link")</f>
        <v/>
      </c>
      <c r="N2969" s="6">
        <f>HYPERLINK("http://www.eum.go.kr/web/ar/lu/luLandDet.jsp?pnu=3611025033102730002&amp;isNoScr=script&amp;mode=search",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1949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소로한면</t>
        </is>
      </c>
    </row>
    <row r="2970">
      <c r="A2970" s="3" t="inlineStr">
        <is>
          <t>조치원읍 봉산리 295</t>
        </is>
      </c>
      <c r="B2970" s="3" t="inlineStr">
        <is>
          <t>계획관리지역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329200</v>
      </c>
      <c r="G2970" s="4" t="n">
        <v>4353</v>
      </c>
      <c r="H2970" s="4" t="n">
        <v>1317</v>
      </c>
      <c r="I2970" s="5" t="n">
        <v>250</v>
      </c>
      <c r="J2970" s="5" t="n">
        <v>70.7</v>
      </c>
      <c r="K2970" s="3" t="inlineStr">
        <is>
          <t>nan</t>
        </is>
      </c>
      <c r="L2970" s="6">
        <f>HYPERLINK("https://fin.land.naver.com/articles/2655149236", "매물Link")</f>
        <v/>
      </c>
      <c r="M2970" s="6">
        <f>HYPERLINK("https://map.naver.com/p/search/조치원읍 봉산리 295", "지도Link")</f>
        <v/>
      </c>
      <c r="N2970" s="6">
        <f>HYPERLINK("http://www.eum.go.kr/web/ar/lu/luLandDet.jsp?pnu=3611025033102950000&amp;isNoScr=script&amp;mode=search", "토지이음")</f>
        <v/>
      </c>
      <c r="O2970" s="3" t="inlineStr">
        <is>
          <t>오송랜드</t>
        </is>
      </c>
      <c r="P2970" s="4" t="n">
        <v>1</v>
      </c>
      <c r="Q2970" s="4" t="n">
        <v>2226</v>
      </c>
      <c r="R2970" s="3" t="inlineStr">
        <is>
          <t>지정되지않음</t>
        </is>
      </c>
      <c r="S2970" s="3" t="inlineStr">
        <is>
          <t>전기타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조치원읍 봉산리 303</t>
        </is>
      </c>
      <c r="B2971" s="3" t="inlineStr">
        <is>
          <t>계획관리지역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151580</v>
      </c>
      <c r="G2971" s="4" t="n">
        <v>2277</v>
      </c>
      <c r="H2971" s="4" t="n">
        <v>689</v>
      </c>
      <c r="I2971" s="5" t="n">
        <v>220</v>
      </c>
      <c r="J2971" s="5" t="n">
        <v>62.3</v>
      </c>
      <c r="K2971" s="3" t="inlineStr">
        <is>
          <t>nan</t>
        </is>
      </c>
      <c r="L2971" s="6">
        <f>HYPERLINK("https://fin.land.naver.com/articles/2655148684", "매물Link")</f>
        <v/>
      </c>
      <c r="M2971" s="6">
        <f>HYPERLINK("https://map.naver.com/p/search/조치원읍 봉산리 303", "지도Link")</f>
        <v/>
      </c>
      <c r="N2971" s="6">
        <f>HYPERLINK("http://www.eum.go.kr/web/ar/lu/luLandDet.jsp?pnu=3611025033103030000&amp;isNoScr=script&amp;mode=search", "토지이음")</f>
        <v/>
      </c>
      <c r="O2971" s="3" t="inlineStr">
        <is>
          <t>오송랜드</t>
        </is>
      </c>
      <c r="P2971" s="4" t="n">
        <v>1</v>
      </c>
      <c r="Q2971" s="4" t="n">
        <v>2278</v>
      </c>
      <c r="R2971" s="3" t="inlineStr">
        <is>
          <t>지정되지않음</t>
        </is>
      </c>
      <c r="S2971" s="3" t="inlineStr">
        <is>
          <t>전기타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조치원읍 봉산리 365</t>
        </is>
      </c>
      <c r="B2972" s="3" t="inlineStr">
        <is>
          <t>준주거지역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1300000</v>
      </c>
      <c r="G2972" s="4" t="n">
        <v>4444</v>
      </c>
      <c r="H2972" s="4" t="n">
        <v>1344</v>
      </c>
      <c r="I2972" s="5" t="n">
        <v>967.3</v>
      </c>
      <c r="J2972" s="5" t="n">
        <v>256</v>
      </c>
      <c r="K2972" s="3" t="inlineStr">
        <is>
          <t>nan</t>
        </is>
      </c>
      <c r="L2972" s="6">
        <f>HYPERLINK("https://fin.land.naver.com/articles/2655899893", "매물Link")</f>
        <v/>
      </c>
      <c r="M2972" s="6">
        <f>HYPERLINK("https://map.naver.com/p/search/조치원읍 봉산리 365", "지도Link")</f>
        <v/>
      </c>
      <c r="N2972" s="6">
        <f>HYPERLINK("http://www.eum.go.kr/web/ar/lu/luLandDet.jsp?pnu=3611025033103650000&amp;isNoScr=script&amp;mode=search", "토지이음")</f>
        <v/>
      </c>
      <c r="O2972" s="3" t="inlineStr">
        <is>
          <t>테이트한남  주식회사</t>
        </is>
      </c>
      <c r="P2972" s="4" t="n">
        <v>2</v>
      </c>
      <c r="Q2972" s="4" t="n">
        <v>4444</v>
      </c>
      <c r="R2972" s="3" t="inlineStr">
        <is>
          <t>지정되지않음</t>
        </is>
      </c>
      <c r="S2972" s="3" t="inlineStr">
        <is>
          <t>상업나지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중로각지</t>
        </is>
      </c>
    </row>
    <row r="2973">
      <c r="A2973" s="3" t="inlineStr">
        <is>
          <t>조치원읍 봉산리 393</t>
        </is>
      </c>
      <c r="B2973" s="3" t="inlineStr">
        <is>
          <t>준주거지역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450000</v>
      </c>
      <c r="G2973" s="4" t="n">
        <v>828</v>
      </c>
      <c r="H2973" s="4" t="n">
        <v>250</v>
      </c>
      <c r="I2973" s="5" t="n">
        <v>1800</v>
      </c>
      <c r="J2973" s="5" t="n">
        <v>274.4</v>
      </c>
      <c r="K2973" s="3" t="inlineStr">
        <is>
          <t>조치원 서북부지구 아파트 앞 중심상권 토지</t>
        </is>
      </c>
      <c r="L2973" s="6">
        <f>HYPERLINK("https://fin.land.naver.com/articles/2650856619", "매물Link")</f>
        <v/>
      </c>
      <c r="M2973" s="6">
        <f>HYPERLINK("https://map.naver.com/p/search/조치원읍 봉산리 393", "지도Link")</f>
        <v/>
      </c>
      <c r="N2973" s="6">
        <f>HYPERLINK("http://www.eum.go.kr/web/ar/lu/luLandDet.jsp?pnu=3611025033103930000&amp;isNoScr=script&amp;mode=search", "토지이음")</f>
        <v/>
      </c>
      <c r="O2973" s="3" t="inlineStr">
        <is>
          <t>세종대박</t>
        </is>
      </c>
      <c r="P2973" s="4" t="n">
        <v>1</v>
      </c>
      <c r="Q2973" s="4" t="n">
        <v>828.7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가로장방</t>
        </is>
      </c>
      <c r="V2973" s="3" t="inlineStr">
        <is>
          <t>중로각지</t>
        </is>
      </c>
    </row>
    <row r="2974">
      <c r="A2974" s="3" t="inlineStr">
        <is>
          <t>조치원읍 봉산리 393</t>
        </is>
      </c>
      <c r="B2974" s="3" t="inlineStr">
        <is>
          <t>준주거지역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375000</v>
      </c>
      <c r="G2974" s="4" t="n">
        <v>828</v>
      </c>
      <c r="H2974" s="4" t="n">
        <v>250</v>
      </c>
      <c r="I2974" s="5" t="n">
        <v>1500</v>
      </c>
      <c r="J2974" s="5" t="n">
        <v>274.4</v>
      </c>
      <c r="K2974" s="3" t="inlineStr">
        <is>
          <t>조치원 서북부지구 준주거 대지 매매</t>
        </is>
      </c>
      <c r="L2974" s="6">
        <f>HYPERLINK("https://fin.land.naver.com/articles/2655625037", "매물Link")</f>
        <v/>
      </c>
      <c r="M2974" s="6">
        <f>HYPERLINK("https://map.naver.com/p/search/조치원읍 봉산리 393", "지도Link")</f>
        <v/>
      </c>
      <c r="N2974" s="6">
        <f>HYPERLINK("http://www.eum.go.kr/web/ar/lu/luLandDet.jsp?pnu=3611025033103930000&amp;isNoScr=script&amp;mode=search", "토지이음")</f>
        <v/>
      </c>
      <c r="O2974" s="3" t="inlineStr">
        <is>
          <t>세종몽땅</t>
        </is>
      </c>
      <c r="P2974" s="4" t="n">
        <v>1</v>
      </c>
      <c r="Q2974" s="4" t="n">
        <v>828.7</v>
      </c>
      <c r="R2974" s="3" t="inlineStr">
        <is>
          <t>지정되지않음</t>
        </is>
      </c>
      <c r="S2974" s="3" t="inlineStr">
        <is>
          <t>상업나지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중로각지</t>
        </is>
      </c>
    </row>
    <row r="2975">
      <c r="A2975" s="3" t="inlineStr">
        <is>
          <t>조치원읍 봉산리 산20-15</t>
        </is>
      </c>
      <c r="B2975" s="3" t="inlineStr">
        <is>
          <t>보전녹지지역</t>
        </is>
      </c>
      <c r="C2975" s="3" t="inlineStr">
        <is>
          <t>임야</t>
        </is>
      </c>
      <c r="D2975" s="3" t="inlineStr">
        <is>
          <t>임야</t>
        </is>
      </c>
      <c r="E2975" s="3" t="inlineStr">
        <is>
          <t>매매</t>
        </is>
      </c>
      <c r="F2975" s="4" t="n">
        <v>16084</v>
      </c>
      <c r="G2975" s="4" t="n">
        <v>13291</v>
      </c>
      <c r="H2975" s="4" t="n">
        <v>4021</v>
      </c>
      <c r="I2975" s="5" t="n">
        <v>4</v>
      </c>
      <c r="J2975" s="5" t="n">
        <v>4.1</v>
      </c>
      <c r="K2975" s="3" t="inlineStr">
        <is>
          <t>맹지 빠른매도원함 조치원읍  주변 땅 발전성 높고요 매물 가치 좋아요</t>
        </is>
      </c>
      <c r="L2975" s="6">
        <f>HYPERLINK("https://fin.land.naver.com/articles/2654866870", "매물Link")</f>
        <v/>
      </c>
      <c r="M2975" s="6">
        <f>HYPERLINK("https://map.naver.com/p/search/조치원읍 봉산리 산20-15", "지도Link")</f>
        <v/>
      </c>
      <c r="N2975" s="6">
        <f>HYPERLINK("http://www.eum.go.kr/web/ar/lu/luLandDet.jsp?pnu=3611025033200200015&amp;isNoScr=script&amp;mode=search", "토지이음")</f>
        <v/>
      </c>
      <c r="O2975" s="3" t="inlineStr">
        <is>
          <t>삼성래미안</t>
        </is>
      </c>
      <c r="P2975" s="4" t="n">
        <v>3</v>
      </c>
      <c r="Q2975" s="4" t="n">
        <v>13291</v>
      </c>
      <c r="R2975" s="3" t="inlineStr">
        <is>
          <t>자연녹지지역</t>
        </is>
      </c>
      <c r="S2975" s="3" t="inlineStr">
        <is>
          <t>자연림</t>
        </is>
      </c>
      <c r="T2975" s="3" t="inlineStr">
        <is>
          <t>급경사</t>
        </is>
      </c>
      <c r="U2975" s="3" t="inlineStr">
        <is>
          <t>부정형</t>
        </is>
      </c>
      <c r="V2975" s="3" t="inlineStr">
        <is>
          <t>맹지</t>
        </is>
      </c>
    </row>
    <row r="2976">
      <c r="A2976" s="3" t="inlineStr">
        <is>
          <t>조치원읍 서창리 105-10</t>
        </is>
      </c>
      <c r="B2976" s="3" t="inlineStr">
        <is>
          <t>제1종일반주거지역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185000</v>
      </c>
      <c r="G2976" s="4" t="n">
        <v>1685</v>
      </c>
      <c r="H2976" s="4" t="n">
        <v>510</v>
      </c>
      <c r="I2976" s="5" t="n">
        <v>362.7</v>
      </c>
      <c r="J2976" s="5" t="n">
        <v>228.2</v>
      </c>
      <c r="K2976" s="3" t="inlineStr">
        <is>
          <t>4차선 대로접, 물류 및 자동차 관련시설 추천</t>
        </is>
      </c>
      <c r="L2976" s="6">
        <f>HYPERLINK("https://fin.land.naver.com/articles/2654787719", "매물Link")</f>
        <v/>
      </c>
      <c r="M2976" s="6">
        <f>HYPERLINK("https://map.naver.com/p/search/조치원읍 서창리 105-10", "지도Link")</f>
        <v/>
      </c>
      <c r="N2976" s="6">
        <f>HYPERLINK("http://www.eum.go.kr/web/ar/lu/luLandDet.jsp?pnu=3611025034101050010&amp;isNoScr=script&amp;mode=search", "토지이음")</f>
        <v/>
      </c>
      <c r="O2976" s="3" t="inlineStr">
        <is>
          <t>세종소담114</t>
        </is>
      </c>
      <c r="P2976" s="4" t="n">
        <v>1</v>
      </c>
      <c r="Q2976" s="4" t="n">
        <v>1685</v>
      </c>
      <c r="R2976" s="3" t="inlineStr">
        <is>
          <t>자연녹지지역</t>
        </is>
      </c>
      <c r="S2976" s="3" t="inlineStr">
        <is>
          <t>주상나지</t>
        </is>
      </c>
      <c r="T2976" s="3" t="inlineStr">
        <is>
          <t>평지</t>
        </is>
      </c>
      <c r="U2976" s="3" t="inlineStr">
        <is>
          <t>사다리형</t>
        </is>
      </c>
      <c r="V2976" s="3" t="inlineStr">
        <is>
          <t>중로한면</t>
        </is>
      </c>
    </row>
    <row r="2977">
      <c r="A2977" s="3" t="inlineStr">
        <is>
          <t>조치원읍 서창리 106-4</t>
        </is>
      </c>
      <c r="B2977" s="3" t="inlineStr">
        <is>
          <t>제1종일반주거지역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60000</v>
      </c>
      <c r="G2977" s="4" t="n">
        <v>540</v>
      </c>
      <c r="H2977" s="4" t="n">
        <v>163</v>
      </c>
      <c r="I2977" s="5" t="n">
        <v>368.1</v>
      </c>
      <c r="J2977" s="5" t="n">
        <v>194.8</v>
      </c>
      <c r="K2977" s="3" t="inlineStr">
        <is>
          <t>카센타 세차장 등으로 활용하면 좋을 근생시설과 단독주택을 일괄매매합니다</t>
        </is>
      </c>
      <c r="L2977" s="6">
        <f>HYPERLINK("https://fin.land.naver.com/articles/2650939295", "매물Link")</f>
        <v/>
      </c>
      <c r="M2977" s="6">
        <f>HYPERLINK("https://map.naver.com/p/search/조치원읍 서창리 106-4", "지도Link")</f>
        <v/>
      </c>
      <c r="N2977" s="6">
        <f>HYPERLINK("http://www.eum.go.kr/web/ar/lu/luLandDet.jsp?pnu=3611025034101060004&amp;isNoScr=script&amp;mode=search",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540.1</v>
      </c>
      <c r="R2977" s="3" t="inlineStr">
        <is>
          <t>지정되지않음</t>
        </is>
      </c>
      <c r="S2977" s="3" t="inlineStr">
        <is>
          <t>주상용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서창리 124-2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98700</v>
      </c>
      <c r="G2978" s="4" t="n">
        <v>1086</v>
      </c>
      <c r="H2978" s="4" t="n">
        <v>329</v>
      </c>
      <c r="I2978" s="5" t="n">
        <v>300</v>
      </c>
      <c r="J2978" s="5" t="n">
        <v>108</v>
      </c>
      <c r="K2978" s="3" t="inlineStr">
        <is>
          <t>도시지역.자연녹지지역.공공청사</t>
        </is>
      </c>
      <c r="L2978" s="6">
        <f>HYPERLINK("https://fin.land.naver.com/articles/2651200819", "매물Link")</f>
        <v/>
      </c>
      <c r="M2978" s="6">
        <f>HYPERLINK("https://map.naver.com/p/search/조치원읍 서창리 124-2", "지도Link")</f>
        <v/>
      </c>
      <c r="N2978" s="6">
        <f>HYPERLINK("http://www.eum.go.kr/web/ar/lu/luLandDet.jsp?pnu=3611025034101240002&amp;isNoScr=script&amp;mode=search", "토지이음")</f>
        <v/>
      </c>
      <c r="O2978" s="3" t="inlineStr">
        <is>
          <t>광주역포스코</t>
        </is>
      </c>
      <c r="P2978" s="4" t="n">
        <v>1</v>
      </c>
      <c r="Q2978" s="4" t="n">
        <v>1086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중로각지</t>
        </is>
      </c>
    </row>
    <row r="2979">
      <c r="A2979" s="3" t="inlineStr">
        <is>
          <t>조치원읍 서창리 138-2</t>
        </is>
      </c>
      <c r="B2979" s="3" t="inlineStr">
        <is>
          <t>제2종일반주거지역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85000</v>
      </c>
      <c r="G2979" s="4" t="n">
        <v>620</v>
      </c>
      <c r="H2979" s="4" t="n">
        <v>188</v>
      </c>
      <c r="I2979" s="5" t="n">
        <v>452.1</v>
      </c>
      <c r="J2979" s="5" t="n">
        <v>178.5</v>
      </c>
      <c r="K2979" s="3" t="inlineStr">
        <is>
          <t>서창리 2종일반주거,2차선접 코너 나대지 급매,원룸신축 추천</t>
        </is>
      </c>
      <c r="L2979" s="6">
        <f>HYPERLINK("https://fin.land.naver.com/articles/2655068847", "매물Link")</f>
        <v/>
      </c>
      <c r="M2979" s="6">
        <f>HYPERLINK("https://map.naver.com/p/search/조치원읍 서창리 138-2", "지도Link")</f>
        <v/>
      </c>
      <c r="N2979" s="6">
        <f>HYPERLINK("http://www.eum.go.kr/web/ar/lu/luLandDet.jsp?pnu=3611025034101380002&amp;isNoScr=script&amp;mode=search", "토지이음")</f>
        <v/>
      </c>
      <c r="O2979" s="3" t="inlineStr">
        <is>
          <t>광장</t>
        </is>
      </c>
      <c r="P2979" s="4" t="n">
        <v>1</v>
      </c>
      <c r="Q2979" s="4" t="n">
        <v>289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평지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서창리 138-2</t>
        </is>
      </c>
      <c r="B2980" s="3" t="inlineStr">
        <is>
          <t>제2종일반주거지역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85000</v>
      </c>
      <c r="G2980" s="4" t="n">
        <v>620</v>
      </c>
      <c r="H2980" s="4" t="n">
        <v>188</v>
      </c>
      <c r="I2980" s="5" t="n">
        <v>452.1</v>
      </c>
      <c r="J2980" s="5" t="n">
        <v>178.5</v>
      </c>
      <c r="K2980" s="3" t="inlineStr">
        <is>
          <t>서창리 토지 매매</t>
        </is>
      </c>
      <c r="L2980" s="6">
        <f>HYPERLINK("https://fin.land.naver.com/articles/2654528622", "매물Link")</f>
        <v/>
      </c>
      <c r="M2980" s="6">
        <f>HYPERLINK("https://map.naver.com/p/search/조치원읍 서창리 138-2", "지도Link")</f>
        <v/>
      </c>
      <c r="N2980" s="6">
        <f>HYPERLINK("http://www.eum.go.kr/web/ar/lu/luLandDet.jsp?pnu=3611025034101380002&amp;isNoScr=script&amp;mode=search", "토지이음")</f>
        <v/>
      </c>
      <c r="O2980" s="3" t="inlineStr">
        <is>
          <t>김준희</t>
        </is>
      </c>
      <c r="P2980" s="4" t="n">
        <v>1</v>
      </c>
      <c r="Q2980" s="4" t="n">
        <v>289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서창리 138-5</t>
        </is>
      </c>
      <c r="B2981" s="3" t="inlineStr">
        <is>
          <t>제2종일반주거지역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85000</v>
      </c>
      <c r="G2981" s="4" t="n">
        <v>620</v>
      </c>
      <c r="H2981" s="4" t="n">
        <v>188</v>
      </c>
      <c r="I2981" s="5" t="n">
        <v>452.1</v>
      </c>
      <c r="J2981" s="5" t="n">
        <v>178.5</v>
      </c>
      <c r="K2981" s="3" t="inlineStr">
        <is>
          <t>세종여고정문앞 8m도로접,농취증 필요없어요 토지뒷쪽으로 도로계획있음,</t>
        </is>
      </c>
      <c r="L2981" s="6">
        <f>HYPERLINK("https://fin.land.naver.com/articles/2656411263", "매물Link")</f>
        <v/>
      </c>
      <c r="M2981" s="6">
        <f>HYPERLINK("https://map.naver.com/p/search/조치원읍 서창리 138-5", "지도Link")</f>
        <v/>
      </c>
      <c r="N2981" s="6">
        <f>HYPERLINK("http://www.eum.go.kr/web/ar/lu/luLandDet.jsp?pnu=3611025034101380005&amp;isNoScr=script&amp;mode=search", "토지이음")</f>
        <v/>
      </c>
      <c r="O2981" s="3" t="inlineStr">
        <is>
          <t>담뜰</t>
        </is>
      </c>
      <c r="P2981" s="4" t="n">
        <v>1</v>
      </c>
      <c r="Q2981" s="4" t="n">
        <v>331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서창리 152-2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63000</v>
      </c>
      <c r="G2982" s="4" t="n">
        <v>328</v>
      </c>
      <c r="H2982" s="4" t="n">
        <v>99</v>
      </c>
      <c r="I2982" s="5" t="n">
        <v>636.4</v>
      </c>
      <c r="J2982" s="5" t="n">
        <v>237.3</v>
      </c>
      <c r="K2982" s="3" t="inlineStr">
        <is>
          <t>급매,고려대학교 인근,도로접 도시.2종일반주거지역,다용도 건축가능</t>
        </is>
      </c>
      <c r="L2982" s="6">
        <f>HYPERLINK("https://fin.land.naver.com/articles/2655574032", "매물Link")</f>
        <v/>
      </c>
      <c r="M2982" s="6">
        <f>HYPERLINK("https://map.naver.com/p/search/조치원읍 서창리 152-2", "지도Link")</f>
        <v/>
      </c>
      <c r="N2982" s="6">
        <f>HYPERLINK("http://www.eum.go.kr/web/ar/lu/luLandDet.jsp?pnu=3611025034101520002&amp;isNoScr=script&amp;mode=search", "토지이음")</f>
        <v/>
      </c>
      <c r="O2982" s="3" t="inlineStr">
        <is>
          <t>고운맘</t>
        </is>
      </c>
      <c r="P2982" s="4" t="n">
        <v>1</v>
      </c>
      <c r="Q2982" s="4" t="n">
        <v>328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사다리형</t>
        </is>
      </c>
      <c r="V2982" s="3" t="inlineStr">
        <is>
          <t>소로한면</t>
        </is>
      </c>
    </row>
    <row r="2983">
      <c r="A2983" s="3" t="inlineStr">
        <is>
          <t>조치원읍 서창리 168-2</t>
        </is>
      </c>
      <c r="B2983" s="3" t="inlineStr">
        <is>
          <t>준주거지역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120000</v>
      </c>
      <c r="G2983" s="4" t="n">
        <v>732</v>
      </c>
      <c r="H2983" s="4" t="n">
        <v>221</v>
      </c>
      <c r="I2983" s="5" t="n">
        <v>543</v>
      </c>
      <c r="J2983" s="5" t="n">
        <v>320.9</v>
      </c>
      <c r="K2983" s="3" t="inlineStr">
        <is>
          <t>근생부지로 좋은 고려대학교 인근 3거리 코너 각지에 있는 준주거지역 대지</t>
        </is>
      </c>
      <c r="L2983" s="6">
        <f>HYPERLINK("https://fin.land.naver.com/articles/2652409745", "매물Link")</f>
        <v/>
      </c>
      <c r="M2983" s="6">
        <f>HYPERLINK("https://map.naver.com/p/search/조치원읍 서창리 168-2", "지도Link")</f>
        <v/>
      </c>
      <c r="N2983" s="6">
        <f>HYPERLINK("http://www.eum.go.kr/web/ar/lu/luLandDet.jsp?pnu=3611025034101680002&amp;isNoScr=script&amp;mode=search", "토지이음")</f>
        <v/>
      </c>
      <c r="O2983" s="3" t="inlineStr">
        <is>
          <t>스마일세종</t>
        </is>
      </c>
      <c r="P2983" s="4" t="n">
        <v>1</v>
      </c>
      <c r="Q2983" s="4" t="n">
        <v>732</v>
      </c>
      <c r="R2983" s="3" t="inlineStr">
        <is>
          <t>지정되지않음</t>
        </is>
      </c>
      <c r="S2983" s="3" t="inlineStr">
        <is>
          <t>주거기타</t>
        </is>
      </c>
      <c r="T2983" s="3" t="inlineStr">
        <is>
          <t>평지</t>
        </is>
      </c>
      <c r="U2983" s="3" t="inlineStr">
        <is>
          <t>사다리형</t>
        </is>
      </c>
      <c r="V2983" s="3" t="inlineStr">
        <is>
          <t>소로한면</t>
        </is>
      </c>
    </row>
    <row r="2984">
      <c r="A2984" s="3" t="inlineStr">
        <is>
          <t>조치원읍 서창리 168-2</t>
        </is>
      </c>
      <c r="B2984" s="3" t="inlineStr">
        <is>
          <t>준주거지역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120000</v>
      </c>
      <c r="G2984" s="4" t="n">
        <v>732</v>
      </c>
      <c r="H2984" s="4" t="n">
        <v>221</v>
      </c>
      <c r="I2984" s="5" t="n">
        <v>543</v>
      </c>
      <c r="J2984" s="5" t="n">
        <v>320.9</v>
      </c>
      <c r="K2984" s="3" t="inlineStr">
        <is>
          <t>준주거지역 추천매물 고대 정문근처</t>
        </is>
      </c>
      <c r="L2984" s="6">
        <f>HYPERLINK("https://fin.land.naver.com/articles/2653992281", "매물Link")</f>
        <v/>
      </c>
      <c r="M2984" s="6">
        <f>HYPERLINK("https://map.naver.com/p/search/조치원읍 서창리 168-2", "지도Link")</f>
        <v/>
      </c>
      <c r="N2984" s="6">
        <f>HYPERLINK("http://www.eum.go.kr/web/ar/lu/luLandDet.jsp?pnu=3611025034101680002&amp;isNoScr=script&amp;mode=search",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732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서창리 168-31</t>
        </is>
      </c>
      <c r="B2985" s="3" t="inlineStr">
        <is>
          <t>준주거지역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30000</v>
      </c>
      <c r="G2985" s="4" t="n">
        <v>148</v>
      </c>
      <c r="H2985" s="4" t="n">
        <v>45</v>
      </c>
      <c r="I2985" s="5" t="n">
        <v>666.7</v>
      </c>
      <c r="J2985" s="5" t="n">
        <v>307.9</v>
      </c>
      <c r="K2985" s="3" t="inlineStr">
        <is>
          <t>급매, 서창리 준주거지역 토지</t>
        </is>
      </c>
      <c r="L2985" s="6">
        <f>HYPERLINK("https://fin.land.naver.com/articles/2653950500", "매물Link")</f>
        <v/>
      </c>
      <c r="M2985" s="6">
        <f>HYPERLINK("https://map.naver.com/p/search/조치원읍 서창리 168-31", "지도Link")</f>
        <v/>
      </c>
      <c r="N2985" s="6">
        <f>HYPERLINK("http://www.eum.go.kr/web/ar/lu/luLandDet.jsp?pnu=3611025034101680031&amp;isNoScr=script&amp;mode=search", "토지이음")</f>
        <v/>
      </c>
      <c r="O2985" s="3" t="inlineStr">
        <is>
          <t>KB세종</t>
        </is>
      </c>
      <c r="P2985" s="4" t="n">
        <v>1</v>
      </c>
      <c r="Q2985" s="4" t="n">
        <v>148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소로한면</t>
        </is>
      </c>
    </row>
    <row r="2986">
      <c r="A2986" s="3" t="inlineStr">
        <is>
          <t>조치원읍 서창리 182-16</t>
        </is>
      </c>
      <c r="B2986" s="3" t="inlineStr">
        <is>
          <t>제1종일반주거지역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29000</v>
      </c>
      <c r="G2986" s="4" t="n">
        <v>446</v>
      </c>
      <c r="H2986" s="4" t="n">
        <v>135</v>
      </c>
      <c r="I2986" s="5" t="n">
        <v>214.8</v>
      </c>
      <c r="J2986" s="5" t="n">
        <v>201.7</v>
      </c>
      <c r="K2986" s="3" t="inlineStr">
        <is>
          <t>nan</t>
        </is>
      </c>
      <c r="L2986" s="6">
        <f>HYPERLINK("https://fin.land.naver.com/articles/2656152585", "매물Link")</f>
        <v/>
      </c>
      <c r="M2986" s="6">
        <f>HYPERLINK("https://map.naver.com/p/search/조치원읍 서창리 182-16", "지도Link")</f>
        <v/>
      </c>
      <c r="N2986" s="6">
        <f>HYPERLINK("http://www.eum.go.kr/web/ar/lu/luLandDet.jsp?pnu=3611025034101820016&amp;isNoScr=script&amp;mode=search", "토지이음")</f>
        <v/>
      </c>
      <c r="O2986" s="3" t="inlineStr">
        <is>
          <t>찬스</t>
        </is>
      </c>
      <c r="P2986" s="4" t="n">
        <v>1</v>
      </c>
      <c r="Q2986" s="4" t="n">
        <v>446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완경사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서창리 248-18</t>
        </is>
      </c>
      <c r="B2987" s="3" t="inlineStr">
        <is>
          <t>자연녹지지역</t>
        </is>
      </c>
      <c r="C2987" s="3" t="inlineStr">
        <is>
          <t>과수원</t>
        </is>
      </c>
      <c r="D2987" s="3" t="inlineStr">
        <is>
          <t>과수원</t>
        </is>
      </c>
      <c r="E2987" s="3" t="inlineStr">
        <is>
          <t>매매</t>
        </is>
      </c>
      <c r="F2987" s="4" t="n">
        <v>58000</v>
      </c>
      <c r="G2987" s="4" t="n">
        <v>713</v>
      </c>
      <c r="H2987" s="4" t="n">
        <v>216</v>
      </c>
      <c r="I2987" s="5" t="n">
        <v>268.5</v>
      </c>
      <c r="J2987" s="5" t="n">
        <v>103.3</v>
      </c>
      <c r="K2987" s="3" t="inlineStr">
        <is>
          <t>세종여고 인근 토지매매</t>
        </is>
      </c>
      <c r="L2987" s="6">
        <f>HYPERLINK("https://fin.land.naver.com/articles/2654530627", "매물Link")</f>
        <v/>
      </c>
      <c r="M2987" s="6">
        <f>HYPERLINK("https://map.naver.com/p/search/조치원읍 서창리 248-18", "지도Link")</f>
        <v/>
      </c>
      <c r="N2987" s="6">
        <f>HYPERLINK("http://www.eum.go.kr/web/ar/lu/luLandDet.jsp?pnu=3611025034102480018&amp;isNoScr=script&amp;mode=search", "토지이음")</f>
        <v/>
      </c>
      <c r="O2987" s="3" t="inlineStr">
        <is>
          <t>김준희</t>
        </is>
      </c>
      <c r="P2987" s="4" t="n">
        <v>1</v>
      </c>
      <c r="Q2987" s="4" t="n">
        <v>377</v>
      </c>
      <c r="R2987" s="3" t="inlineStr">
        <is>
          <t>지정되지않음</t>
        </is>
      </c>
      <c r="S2987" s="3" t="inlineStr">
        <is>
          <t>과수원</t>
        </is>
      </c>
      <c r="T2987" s="3" t="inlineStr">
        <is>
          <t>완경사</t>
        </is>
      </c>
      <c r="U2987" s="3" t="inlineStr">
        <is>
          <t>부정형</t>
        </is>
      </c>
      <c r="V2987" s="3" t="inlineStr">
        <is>
          <t>소로한면</t>
        </is>
      </c>
    </row>
    <row r="2988">
      <c r="A2988" s="3" t="inlineStr">
        <is>
          <t>조치원읍 서창리 250</t>
        </is>
      </c>
      <c r="B2988" s="3" t="inlineStr">
        <is>
          <t>제2종일반주거지역</t>
        </is>
      </c>
      <c r="C2988" s="3" t="inlineStr">
        <is>
          <t>전</t>
        </is>
      </c>
      <c r="D2988" s="3" t="inlineStr">
        <is>
          <t>전</t>
        </is>
      </c>
      <c r="E2988" s="3" t="inlineStr">
        <is>
          <t>매매</t>
        </is>
      </c>
      <c r="F2988" s="4" t="n">
        <v>90000</v>
      </c>
      <c r="G2988" s="4" t="n">
        <v>540</v>
      </c>
      <c r="H2988" s="4" t="n">
        <v>163</v>
      </c>
      <c r="I2988" s="5" t="n">
        <v>552.1</v>
      </c>
      <c r="J2988" s="5" t="n">
        <v>184.3</v>
      </c>
      <c r="K2988" s="3" t="inlineStr">
        <is>
          <t>조치원 서창리 제2종일반주거지역 코너각지 토지매매</t>
        </is>
      </c>
      <c r="L2988" s="6">
        <f>HYPERLINK("https://fin.land.naver.com/articles/2654445705", "매물Link")</f>
        <v/>
      </c>
      <c r="M2988" s="6">
        <f>HYPERLINK("https://map.naver.com/p/search/조치원읍 서창리 250", "지도Link")</f>
        <v/>
      </c>
      <c r="N2988" s="6">
        <f>HYPERLINK("http://www.eum.go.kr/web/ar/lu/luLandDet.jsp?pnu=3611025034102500000&amp;isNoScr=script&amp;mode=search", "토지이음")</f>
        <v/>
      </c>
      <c r="O2988" s="3" t="inlineStr">
        <is>
          <t>the다올</t>
        </is>
      </c>
      <c r="P2988" s="4" t="n">
        <v>2</v>
      </c>
      <c r="Q2988" s="4" t="n">
        <v>540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완경사</t>
        </is>
      </c>
      <c r="U2988" s="3" t="inlineStr">
        <is>
          <t>사다리형</t>
        </is>
      </c>
      <c r="V2988" s="3" t="inlineStr">
        <is>
          <t>소로각지</t>
        </is>
      </c>
    </row>
    <row r="2989">
      <c r="A2989" s="3" t="inlineStr">
        <is>
          <t>조치원읍 서창리 26-3</t>
        </is>
      </c>
      <c r="B2989" s="3" t="inlineStr">
        <is>
          <t>자연녹지지역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76650</v>
      </c>
      <c r="G2989" s="4" t="n">
        <v>724</v>
      </c>
      <c r="H2989" s="4" t="n">
        <v>219</v>
      </c>
      <c r="I2989" s="5" t="n">
        <v>350</v>
      </c>
      <c r="J2989" s="5" t="n">
        <v>148.7</v>
      </c>
      <c r="K2989" s="3" t="inlineStr">
        <is>
          <t>시세보다 저렴하며,
근생 및 단독주택, 월세 90만원</t>
        </is>
      </c>
      <c r="L2989" s="6">
        <f>HYPERLINK("https://fin.land.naver.com/articles/2652026776", "매물Link")</f>
        <v/>
      </c>
      <c r="M2989" s="6">
        <f>HYPERLINK("https://map.naver.com/p/search/조치원읍 서창리 26-3", "지도Link")</f>
        <v/>
      </c>
      <c r="N2989" s="6">
        <f>HYPERLINK("http://www.eum.go.kr/web/ar/lu/luLandDet.jsp?pnu=3611025034100260003&amp;isNoScr=script&amp;mode=search", "토지이음")</f>
        <v/>
      </c>
      <c r="O2989" s="3" t="inlineStr">
        <is>
          <t>세종땅전문</t>
        </is>
      </c>
      <c r="P2989" s="4" t="n">
        <v>1</v>
      </c>
      <c r="Q2989" s="4" t="n">
        <v>724</v>
      </c>
      <c r="R2989" s="3" t="inlineStr">
        <is>
          <t>지정되지않음</t>
        </is>
      </c>
      <c r="S2989" s="3" t="inlineStr">
        <is>
          <t>주거기타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서창리 291-8</t>
        </is>
      </c>
      <c r="B2990" s="3" t="inlineStr">
        <is>
          <t>제2종일반주거지역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55000</v>
      </c>
      <c r="G2990" s="4" t="n">
        <v>299</v>
      </c>
      <c r="H2990" s="4" t="n">
        <v>90</v>
      </c>
      <c r="I2990" s="5" t="n">
        <v>611.1</v>
      </c>
      <c r="J2990" s="5" t="n">
        <v>348.4</v>
      </c>
      <c r="K2990" s="3" t="inlineStr">
        <is>
          <t>서창리 다가구주택이나 상가를 지을수 있는 제2종일반주거지역의 대지입니다</t>
        </is>
      </c>
      <c r="L2990" s="6">
        <f>HYPERLINK("https://fin.land.naver.com/articles/2653589519", "매물Link")</f>
        <v/>
      </c>
      <c r="M2990" s="6">
        <f>HYPERLINK("https://map.naver.com/p/search/조치원읍 서창리 291-8", "지도Link")</f>
        <v/>
      </c>
      <c r="N2990" s="6">
        <f>HYPERLINK("http://www.eum.go.kr/web/ar/lu/luLandDet.jsp?pnu=3611025034102910008&amp;isNoScr=script&amp;mode=search",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299</v>
      </c>
      <c r="R2990" s="3" t="inlineStr">
        <is>
          <t>지정되지않음</t>
        </is>
      </c>
      <c r="S2990" s="3" t="inlineStr">
        <is>
          <t>주상기타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조치원읍 서창리 293-4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24638</v>
      </c>
      <c r="G2991" s="4" t="n">
        <v>181</v>
      </c>
      <c r="H2991" s="4" t="n">
        <v>55</v>
      </c>
      <c r="I2991" s="5" t="n">
        <v>448</v>
      </c>
      <c r="J2991" s="5" t="n">
        <v>289.3</v>
      </c>
      <c r="K2991" s="3" t="inlineStr">
        <is>
          <t>nan</t>
        </is>
      </c>
      <c r="L2991" s="6">
        <f>HYPERLINK("https://fin.land.naver.com/articles/2652217321", "매물Link")</f>
        <v/>
      </c>
      <c r="M2991" s="6">
        <f>HYPERLINK("https://map.naver.com/p/search/조치원읍 서창리 293-4", "지도Link")</f>
        <v/>
      </c>
      <c r="N2991" s="6">
        <f>HYPERLINK("http://www.eum.go.kr/web/ar/lu/luLandDet.jsp?pnu=3611025034102930004&amp;isNoScr=script&amp;mode=search", "토지이음")</f>
        <v/>
      </c>
      <c r="O2991" s="3" t="inlineStr">
        <is>
          <t>한일</t>
        </is>
      </c>
      <c r="P2991" s="4" t="n">
        <v>1</v>
      </c>
      <c r="Q2991" s="4" t="n">
        <v>181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세로한면(가)</t>
        </is>
      </c>
    </row>
    <row r="2992">
      <c r="A2992" s="3" t="inlineStr">
        <is>
          <t>조치원읍 서창리 306</t>
        </is>
      </c>
      <c r="B2992" s="3" t="inlineStr">
        <is>
          <t>준주거지역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221000</v>
      </c>
      <c r="G2992" s="4" t="n">
        <v>731</v>
      </c>
      <c r="H2992" s="4" t="n">
        <v>221</v>
      </c>
      <c r="I2992" s="5" t="n">
        <v>1000</v>
      </c>
      <c r="J2992" s="5" t="n">
        <v>274.4</v>
      </c>
      <c r="K2992" s="3" t="inlineStr">
        <is>
          <t>조치원서북부지구 가치상승. 투자가치 우수.</t>
        </is>
      </c>
      <c r="L2992" s="6">
        <f>HYPERLINK("https://fin.land.naver.com/articles/2652222097", "매물Link")</f>
        <v/>
      </c>
      <c r="M2992" s="6">
        <f>HYPERLINK("https://map.naver.com/p/search/조치원읍 서창리 306", "지도Link")</f>
        <v/>
      </c>
      <c r="N2992" s="6">
        <f>HYPERLINK("http://www.eum.go.kr/web/ar/lu/luLandDet.jsp?pnu=3611025034103060000&amp;isNoScr=script&amp;mode=search", "토지이음")</f>
        <v/>
      </c>
      <c r="O2992" s="3" t="inlineStr">
        <is>
          <t>진행</t>
        </is>
      </c>
      <c r="P2992" s="4" t="n">
        <v>1</v>
      </c>
      <c r="Q2992" s="4" t="n">
        <v>731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조치원읍 서창리 54-1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165000</v>
      </c>
      <c r="G2993" s="4" t="n">
        <v>915</v>
      </c>
      <c r="H2993" s="4" t="n">
        <v>277</v>
      </c>
      <c r="I2993" s="5" t="n">
        <v>595.7</v>
      </c>
      <c r="J2993" s="5" t="n">
        <v>113.6</v>
      </c>
      <c r="K2993" s="3" t="inlineStr">
        <is>
          <t>nan</t>
        </is>
      </c>
      <c r="L2993" s="6">
        <f>HYPERLINK("https://fin.land.naver.com/articles/2651060447", "매물Link")</f>
        <v/>
      </c>
      <c r="M2993" s="6">
        <f>HYPERLINK("https://map.naver.com/p/search/조치원읍 서창리 54-1", "지도Link")</f>
        <v/>
      </c>
      <c r="N2993" s="6">
        <f>HYPERLINK("http://www.eum.go.kr/web/ar/lu/luLandDet.jsp?pnu=3611025034100540001&amp;isNoScr=script&amp;mode=search", "토지이음")</f>
        <v/>
      </c>
      <c r="O2993" s="3" t="inlineStr">
        <is>
          <t>세종문화길</t>
        </is>
      </c>
      <c r="P2993" s="4" t="n">
        <v>1</v>
      </c>
      <c r="Q2993" s="4" t="n">
        <v>915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광대로한면</t>
        </is>
      </c>
    </row>
    <row r="2994">
      <c r="A2994" s="3" t="inlineStr">
        <is>
          <t>조치원읍 서창리 93-20</t>
        </is>
      </c>
      <c r="B2994" s="3" t="inlineStr">
        <is>
          <t>자연녹지지역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2921</v>
      </c>
      <c r="H2994" s="4" t="n">
        <v>884</v>
      </c>
      <c r="I2994" s="5" t="n">
        <v>169.7</v>
      </c>
      <c r="J2994" s="5" t="n">
        <v>59.7</v>
      </c>
      <c r="K2994" s="3" t="inlineStr">
        <is>
          <t>서창리 도시지역 자연녹지지역으로 자동차 정비소, 요양원으로 적합한 토지</t>
        </is>
      </c>
      <c r="L2994" s="6">
        <f>HYPERLINK("https://fin.land.naver.com/articles/2655815905", "매물Link")</f>
        <v/>
      </c>
      <c r="M2994" s="6">
        <f>HYPERLINK("https://map.naver.com/p/search/조치원읍 서창리 93-20", "지도Link")</f>
        <v/>
      </c>
      <c r="N2994" s="6">
        <f>HYPERLINK("http://www.eum.go.kr/web/ar/lu/luLandDet.jsp?pnu=3611025034100930020&amp;isNoScr=script&amp;mode=search", "토지이음")</f>
        <v/>
      </c>
      <c r="O2994" s="3" t="inlineStr">
        <is>
          <t>스마일세종</t>
        </is>
      </c>
      <c r="P2994" s="4" t="n">
        <v>3</v>
      </c>
      <c r="Q2994" s="4" t="n">
        <v>2575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조치원읍 서창리 93-20</t>
        </is>
      </c>
      <c r="B2995" s="3" t="inlineStr">
        <is>
          <t>자연녹지지역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150000</v>
      </c>
      <c r="G2995" s="4" t="n">
        <v>2921</v>
      </c>
      <c r="H2995" s="4" t="n">
        <v>884</v>
      </c>
      <c r="I2995" s="5" t="n">
        <v>169.7</v>
      </c>
      <c r="J2995" s="5" t="n">
        <v>59.7</v>
      </c>
      <c r="K2995" s="3" t="inlineStr">
        <is>
          <t>조치원 생활권 평탄 대형부지 소형창고 차량보관시설 검토</t>
        </is>
      </c>
      <c r="L2995" s="6">
        <f>HYPERLINK("https://fin.land.naver.com/articles/2656191102", "매물Link")</f>
        <v/>
      </c>
      <c r="M2995" s="6">
        <f>HYPERLINK("https://map.naver.com/p/search/조치원읍 서창리 93-20", "지도Link")</f>
        <v/>
      </c>
      <c r="N2995" s="6">
        <f>HYPERLINK("http://www.eum.go.kr/web/ar/lu/luLandDet.jsp?pnu=3611025034100930020&amp;isNoScr=script&amp;mode=search", "토지이음")</f>
        <v/>
      </c>
      <c r="O2995" s="3" t="inlineStr">
        <is>
          <t>세종소담황금</t>
        </is>
      </c>
      <c r="P2995" s="4" t="n">
        <v>1</v>
      </c>
      <c r="Q2995" s="4" t="n">
        <v>2575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조치원읍 서창리 93-20</t>
        </is>
      </c>
      <c r="B2996" s="3" t="inlineStr">
        <is>
          <t>자연녹지지역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180000</v>
      </c>
      <c r="G2996" s="4" t="n">
        <v>2921</v>
      </c>
      <c r="H2996" s="4" t="n">
        <v>884</v>
      </c>
      <c r="I2996" s="5" t="n">
        <v>203.6</v>
      </c>
      <c r="J2996" s="5" t="n">
        <v>59.7</v>
      </c>
      <c r="K2996" s="3" t="inlineStr">
        <is>
          <t>3필지 일괄매매</t>
        </is>
      </c>
      <c r="L2996" s="6">
        <f>HYPERLINK("https://fin.land.naver.com/articles/2652420151", "매물Link")</f>
        <v/>
      </c>
      <c r="M2996" s="6">
        <f>HYPERLINK("https://map.naver.com/p/search/조치원읍 서창리 93-20", "지도Link")</f>
        <v/>
      </c>
      <c r="N2996" s="6">
        <f>HYPERLINK("http://www.eum.go.kr/web/ar/lu/luLandDet.jsp?pnu=3611025034100930020&amp;isNoScr=script&amp;mode=search", "토지이음")</f>
        <v/>
      </c>
      <c r="O2996" s="3" t="inlineStr">
        <is>
          <t>오송좋은날</t>
        </is>
      </c>
      <c r="P2996" s="4" t="n">
        <v>1</v>
      </c>
      <c r="Q2996" s="4" t="n">
        <v>2575</v>
      </c>
      <c r="R2996" s="3" t="inlineStr">
        <is>
          <t>지정되지않음</t>
        </is>
      </c>
      <c r="S2996" s="3" t="inlineStr">
        <is>
          <t>답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조치원읍 서창리 93-20</t>
        </is>
      </c>
      <c r="B2997" s="3" t="inlineStr">
        <is>
          <t>자연녹지지역</t>
        </is>
      </c>
      <c r="C2997" s="3" t="inlineStr">
        <is>
          <t>답</t>
        </is>
      </c>
      <c r="D2997" s="3" t="inlineStr">
        <is>
          <t>답</t>
        </is>
      </c>
      <c r="E2997" s="3" t="inlineStr">
        <is>
          <t>매매</t>
        </is>
      </c>
      <c r="F2997" s="4" t="n">
        <v>150000</v>
      </c>
      <c r="G2997" s="4" t="n">
        <v>2921</v>
      </c>
      <c r="H2997" s="4" t="n">
        <v>884</v>
      </c>
      <c r="I2997" s="5" t="n">
        <v>169.7</v>
      </c>
      <c r="J2997" s="5" t="n">
        <v>59.7</v>
      </c>
      <c r="K2997" s="3" t="inlineStr">
        <is>
          <t>토지급매 조치원역 인근 대규모 부지 정비소, 세차장, 요양원 추천</t>
        </is>
      </c>
      <c r="L2997" s="6">
        <f>HYPERLINK("https://fin.land.naver.com/articles/2652108627", "매물Link")</f>
        <v/>
      </c>
      <c r="M2997" s="6">
        <f>HYPERLINK("https://map.naver.com/p/search/조치원읍 서창리 93-20", "지도Link")</f>
        <v/>
      </c>
      <c r="N2997" s="6">
        <f>HYPERLINK("http://www.eum.go.kr/web/ar/lu/luLandDet.jsp?pnu=3611025034100930020&amp;isNoScr=script&amp;mode=search", "토지이음")</f>
        <v/>
      </c>
      <c r="O2997" s="3" t="inlineStr">
        <is>
          <t>다모아</t>
        </is>
      </c>
      <c r="P2997" s="4" t="n">
        <v>1</v>
      </c>
      <c r="Q2997" s="4" t="n">
        <v>2575</v>
      </c>
      <c r="R2997" s="3" t="inlineStr">
        <is>
          <t>지정되지않음</t>
        </is>
      </c>
      <c r="S2997" s="3" t="inlineStr">
        <is>
          <t>답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조치원읍 서창리 95-3</t>
        </is>
      </c>
      <c r="B2998" s="3" t="inlineStr">
        <is>
          <t>자연녹지지역</t>
        </is>
      </c>
      <c r="C2998" s="3" t="inlineStr">
        <is>
          <t>답</t>
        </is>
      </c>
      <c r="D2998" s="3" t="inlineStr">
        <is>
          <t>답</t>
        </is>
      </c>
      <c r="E2998" s="3" t="inlineStr">
        <is>
          <t>매매</t>
        </is>
      </c>
      <c r="F2998" s="4" t="n">
        <v>120000</v>
      </c>
      <c r="G2998" s="4" t="n">
        <v>1293</v>
      </c>
      <c r="H2998" s="4" t="n">
        <v>391</v>
      </c>
      <c r="I2998" s="5" t="n">
        <v>306.9</v>
      </c>
      <c r="J2998" s="5" t="n">
        <v>157.6</v>
      </c>
      <c r="K2998" s="3" t="inlineStr">
        <is>
          <t>서창리 토지 매매 자연녹지</t>
        </is>
      </c>
      <c r="L2998" s="6">
        <f>HYPERLINK("https://fin.land.naver.com/articles/2653992204", "매물Link")</f>
        <v/>
      </c>
      <c r="M2998" s="6">
        <f>HYPERLINK("https://map.naver.com/p/search/조치원읍 서창리 95-3", "지도Link")</f>
        <v/>
      </c>
      <c r="N2998" s="6">
        <f>HYPERLINK("http://www.eum.go.kr/web/ar/lu/luLandDet.jsp?pnu=3611025034100950003&amp;isNoScr=script&amp;mode=search", "토지이음")</f>
        <v/>
      </c>
      <c r="O2998" s="3" t="inlineStr">
        <is>
          <t>김준희</t>
        </is>
      </c>
      <c r="P2998" s="4" t="n">
        <v>1</v>
      </c>
      <c r="Q2998" s="4" t="n">
        <v>255</v>
      </c>
      <c r="R2998" s="3" t="inlineStr">
        <is>
          <t>제1종일반주거지역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중로한면</t>
        </is>
      </c>
    </row>
    <row r="2999">
      <c r="A2999" s="3" t="inlineStr">
        <is>
          <t>조치원읍 신안리 179-5</t>
        </is>
      </c>
      <c r="B2999" s="3" t="inlineStr">
        <is>
          <t>자연녹지지역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40000</v>
      </c>
      <c r="G2999" s="4" t="n">
        <v>386</v>
      </c>
      <c r="H2999" s="4" t="n">
        <v>117</v>
      </c>
      <c r="I2999" s="5" t="n">
        <v>341.9</v>
      </c>
      <c r="J2999" s="5" t="n">
        <v>171.6</v>
      </c>
      <c r="K2999" s="3" t="inlineStr">
        <is>
          <t>l S l 홍익대세종캠퍼스 인근 l 자연녹지 l 자연취락지구 l</t>
        </is>
      </c>
      <c r="L2999" s="6">
        <f>HYPERLINK("https://fin.land.naver.com/articles/2656370454", "매물Link")</f>
        <v/>
      </c>
      <c r="M2999" s="6">
        <f>HYPERLINK("https://map.naver.com/p/search/조치원읍 신안리 179-5", "지도Link")</f>
        <v/>
      </c>
      <c r="N2999" s="6">
        <f>HYPERLINK("http://www.eum.go.kr/web/ar/lu/luLandDet.jsp?pnu=3611025032101790005&amp;isNoScr=script&amp;mode=search", "토지이음")</f>
        <v/>
      </c>
      <c r="O2999" s="3" t="inlineStr">
        <is>
          <t>에스</t>
        </is>
      </c>
      <c r="P2999" s="4" t="n">
        <v>1</v>
      </c>
      <c r="Q2999" s="4" t="n">
        <v>386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세로한면(가)</t>
        </is>
      </c>
    </row>
    <row r="3000">
      <c r="A3000" s="3" t="inlineStr">
        <is>
          <t>조치원읍 신안리 193-2</t>
        </is>
      </c>
      <c r="B3000" s="3" t="inlineStr">
        <is>
          <t>자연녹지지역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46000</v>
      </c>
      <c r="G3000" s="4" t="n">
        <v>529</v>
      </c>
      <c r="H3000" s="4" t="n">
        <v>160</v>
      </c>
      <c r="I3000" s="5" t="n">
        <v>287.5</v>
      </c>
      <c r="J3000" s="5" t="n">
        <v>147.6</v>
      </c>
      <c r="K3000" s="3" t="inlineStr">
        <is>
          <t>급매,국도1호선 서창역 인근 알토란 나대지,월룸.단독주택.투자용추천</t>
        </is>
      </c>
      <c r="L3000" s="6">
        <f>HYPERLINK("https://fin.land.naver.com/articles/2651742010", "매물Link")</f>
        <v/>
      </c>
      <c r="M3000" s="6">
        <f>HYPERLINK("https://map.naver.com/p/search/조치원읍 신안리 193-2", "지도Link")</f>
        <v/>
      </c>
      <c r="N3000" s="6">
        <f>HYPERLINK("http://www.eum.go.kr/web/ar/lu/luLandDet.jsp?pnu=3611025032101930002&amp;isNoScr=script&amp;mode=search", "토지이음")</f>
        <v/>
      </c>
      <c r="O3000" s="3" t="inlineStr">
        <is>
          <t>고운맘</t>
        </is>
      </c>
      <c r="P3000" s="4" t="n">
        <v>1</v>
      </c>
      <c r="Q3000" s="4" t="n">
        <v>397</v>
      </c>
      <c r="R3000" s="3" t="inlineStr">
        <is>
          <t>지정되지않음</t>
        </is>
      </c>
      <c r="S3000" s="3" t="inlineStr">
        <is>
          <t>단독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세로한면(불)</t>
        </is>
      </c>
    </row>
    <row r="3001">
      <c r="A3001" s="3" t="inlineStr">
        <is>
          <t>조치원읍 신안리 243-10</t>
        </is>
      </c>
      <c r="B3001" s="3" t="inlineStr">
        <is>
          <t>자연녹지지역</t>
        </is>
      </c>
      <c r="C3001" s="3" t="inlineStr">
        <is>
          <t>과수원</t>
        </is>
      </c>
      <c r="D3001" s="3" t="inlineStr">
        <is>
          <t>과수원</t>
        </is>
      </c>
      <c r="E3001" s="3" t="inlineStr">
        <is>
          <t>매매</t>
        </is>
      </c>
      <c r="F3001" s="4" t="n">
        <v>98000</v>
      </c>
      <c r="G3001" s="4" t="n">
        <v>1620</v>
      </c>
      <c r="H3001" s="4" t="n">
        <v>490</v>
      </c>
      <c r="I3001" s="5" t="n">
        <v>200</v>
      </c>
      <c r="J3001" s="5" t="n">
        <v>76.5</v>
      </c>
      <c r="K3001" s="3" t="inlineStr">
        <is>
          <t>서창역세권 개발예정지, 홍익대학교 인접, 철도보호지구</t>
        </is>
      </c>
      <c r="L3001" s="6">
        <f>HYPERLINK("https://fin.land.naver.com/articles/2652107211", "매물Link")</f>
        <v/>
      </c>
      <c r="M3001" s="6">
        <f>HYPERLINK("https://map.naver.com/p/search/조치원읍 신안리 243-10", "지도Link")</f>
        <v/>
      </c>
      <c r="N3001" s="6">
        <f>HYPERLINK("http://www.eum.go.kr/web/ar/lu/luLandDet.jsp?pnu=3611025032102430010&amp;isNoScr=script&amp;mode=search", "토지이음")</f>
        <v/>
      </c>
      <c r="O3001" s="3" t="inlineStr">
        <is>
          <t>미스터홈즈강남지사</t>
        </is>
      </c>
      <c r="P3001" s="4" t="n">
        <v>1</v>
      </c>
      <c r="Q3001" s="4" t="n">
        <v>1620</v>
      </c>
      <c r="R3001" s="3" t="inlineStr">
        <is>
          <t>지정되지않음</t>
        </is>
      </c>
      <c r="S3001" s="3" t="inlineStr">
        <is>
          <t>과수원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세로한면(불)</t>
        </is>
      </c>
    </row>
    <row r="3002">
      <c r="A3002" s="3" t="inlineStr">
        <is>
          <t>조치원읍 신안리 253-5</t>
        </is>
      </c>
      <c r="B3002" s="3" t="inlineStr">
        <is>
          <t>자연녹지지역</t>
        </is>
      </c>
      <c r="C3002" s="3" t="inlineStr">
        <is>
          <t>공장용지</t>
        </is>
      </c>
      <c r="D3002" s="3" t="inlineStr">
        <is>
          <t>대</t>
        </is>
      </c>
      <c r="E3002" s="3" t="inlineStr">
        <is>
          <t>월세</t>
        </is>
      </c>
      <c r="F3002" s="4" t="n">
        <v>3000</v>
      </c>
      <c r="G3002" s="4" t="n">
        <v>1157</v>
      </c>
      <c r="H3002" s="4" t="n">
        <v>350</v>
      </c>
      <c r="I3002" s="5" t="n">
        <v>0.5</v>
      </c>
      <c r="J3002" s="5" t="n">
        <v>117.6</v>
      </c>
      <c r="K3002" s="3" t="inlineStr">
        <is>
          <t>nan</t>
        </is>
      </c>
      <c r="L3002" s="6">
        <f>HYPERLINK("https://fin.land.naver.com/articles/2655744390", "매물Link")</f>
        <v/>
      </c>
      <c r="M3002" s="6">
        <f>HYPERLINK("https://map.naver.com/p/search/조치원읍 신안리 253-5", "지도Link")</f>
        <v/>
      </c>
      <c r="N3002" s="6">
        <f>HYPERLINK("http://www.eum.go.kr/web/ar/lu/luLandDet.jsp?pnu=3611025032102530005&amp;isNoScr=script&amp;mode=search", "토지이음")</f>
        <v/>
      </c>
      <c r="O3002" s="3" t="inlineStr">
        <is>
          <t>신안무소</t>
        </is>
      </c>
      <c r="P3002" s="4" t="n">
        <v>1</v>
      </c>
      <c r="Q3002" s="4" t="n">
        <v>7812</v>
      </c>
      <c r="R3002" s="3" t="inlineStr">
        <is>
          <t>지정되지않음</t>
        </is>
      </c>
      <c r="S3002" s="3" t="inlineStr">
        <is>
          <t>공업용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조치원읍 신안리 341-17</t>
        </is>
      </c>
      <c r="B3003" s="3" t="inlineStr">
        <is>
          <t>제2종일반주거지역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65000</v>
      </c>
      <c r="G3003" s="4" t="n">
        <v>433</v>
      </c>
      <c r="H3003" s="4" t="n">
        <v>131</v>
      </c>
      <c r="I3003" s="5" t="n">
        <v>496.2</v>
      </c>
      <c r="J3003" s="5" t="n">
        <v>233.8</v>
      </c>
      <c r="K3003" s="3" t="inlineStr">
        <is>
          <t>홍익대 근접 거리, 원룸 지으실 분 추천요.</t>
        </is>
      </c>
      <c r="L3003" s="6">
        <f>HYPERLINK("https://fin.land.naver.com/articles/2656442102", "매물Link")</f>
        <v/>
      </c>
      <c r="M3003" s="6">
        <f>HYPERLINK("https://map.naver.com/p/search/조치원읍 신안리 341-17", "지도Link")</f>
        <v/>
      </c>
      <c r="N3003" s="6">
        <f>HYPERLINK("http://www.eum.go.kr/web/ar/lu/luLandDet.jsp?pnu=3611025032103410017&amp;isNoScr=script&amp;mode=search", "토지이음")</f>
        <v/>
      </c>
      <c r="O3003" s="3" t="inlineStr">
        <is>
          <t>세종공감</t>
        </is>
      </c>
      <c r="P3003" s="4" t="n">
        <v>1</v>
      </c>
      <c r="Q3003" s="4" t="n">
        <v>337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세로한면(가)</t>
        </is>
      </c>
    </row>
    <row r="3004">
      <c r="A3004" s="3" t="inlineStr">
        <is>
          <t>조치원읍 신안리 35-17</t>
        </is>
      </c>
      <c r="B3004" s="3" t="inlineStr">
        <is>
          <t>제2종일반주거지역</t>
        </is>
      </c>
      <c r="C3004" s="3" t="inlineStr">
        <is>
          <t>답</t>
        </is>
      </c>
      <c r="D3004" s="3" t="inlineStr">
        <is>
          <t>답</t>
        </is>
      </c>
      <c r="E3004" s="3" t="inlineStr">
        <is>
          <t>매매</t>
        </is>
      </c>
      <c r="F3004" s="4" t="n">
        <v>285000</v>
      </c>
      <c r="G3004" s="4" t="n">
        <v>1653</v>
      </c>
      <c r="H3004" s="4" t="n">
        <v>500</v>
      </c>
      <c r="I3004" s="5" t="n">
        <v>570</v>
      </c>
      <c r="J3004" s="5" t="n">
        <v>430.4</v>
      </c>
      <c r="K3004" s="3" t="inlineStr">
        <is>
          <t>도시지역 대로접, 2종일반주거지역,넓은 면적 위치좋은 토지</t>
        </is>
      </c>
      <c r="L3004" s="6">
        <f>HYPERLINK("https://fin.land.naver.com/articles/2653435544", "매물Link")</f>
        <v/>
      </c>
      <c r="M3004" s="6">
        <f>HYPERLINK("https://map.naver.com/p/search/조치원읍 신안리 35-17", "지도Link")</f>
        <v/>
      </c>
      <c r="N3004" s="6">
        <f>HYPERLINK("http://www.eum.go.kr/web/ar/lu/luLandDet.jsp?pnu=3611025032100350017&amp;isNoScr=script&amp;mode=search", "토지이음")</f>
        <v/>
      </c>
      <c r="O3004" s="3" t="inlineStr">
        <is>
          <t>고운맘</t>
        </is>
      </c>
      <c r="P3004" s="4" t="n">
        <v>1</v>
      </c>
      <c r="Q3004" s="4" t="n">
        <v>1653</v>
      </c>
      <c r="R3004" s="3" t="inlineStr">
        <is>
          <t>지정되지않음</t>
        </is>
      </c>
      <c r="S3004" s="3" t="inlineStr">
        <is>
          <t>상업나지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광대로한면</t>
        </is>
      </c>
    </row>
    <row r="3005">
      <c r="A3005" s="3" t="inlineStr">
        <is>
          <t>조치원읍 신안리 383-1</t>
        </is>
      </c>
      <c r="B3005" s="3" t="inlineStr">
        <is>
          <t>제2종일반주거지역</t>
        </is>
      </c>
      <c r="C3005" s="3" t="inlineStr">
        <is>
          <t>답</t>
        </is>
      </c>
      <c r="D3005" s="3" t="inlineStr">
        <is>
          <t>답</t>
        </is>
      </c>
      <c r="E3005" s="3" t="inlineStr">
        <is>
          <t>매매</t>
        </is>
      </c>
      <c r="F3005" s="4" t="n">
        <v>30000</v>
      </c>
      <c r="G3005" s="4" t="n">
        <v>265</v>
      </c>
      <c r="H3005" s="4" t="n">
        <v>80</v>
      </c>
      <c r="I3005" s="5" t="n">
        <v>375</v>
      </c>
      <c r="J3005" s="5" t="n">
        <v>200.1</v>
      </c>
      <c r="K3005" s="3" t="inlineStr">
        <is>
          <t>소자본 투자용, 원룸신축부지로 적합</t>
        </is>
      </c>
      <c r="L3005" s="6">
        <f>HYPERLINK("https://fin.land.naver.com/articles/2656441727", "매물Link")</f>
        <v/>
      </c>
      <c r="M3005" s="6">
        <f>HYPERLINK("https://map.naver.com/p/search/조치원읍 신안리 383-1", "지도Link")</f>
        <v/>
      </c>
      <c r="N3005" s="6">
        <f>HYPERLINK("http://www.eum.go.kr/web/ar/lu/luLandDet.jsp?pnu=3611025032103830001&amp;isNoScr=script&amp;mode=search", "토지이음")</f>
        <v/>
      </c>
      <c r="O3005" s="3" t="inlineStr">
        <is>
          <t>세종공감</t>
        </is>
      </c>
      <c r="P3005" s="4" t="n">
        <v>2</v>
      </c>
      <c r="Q3005" s="4" t="n">
        <v>265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세로한면(가)</t>
        </is>
      </c>
    </row>
    <row r="3006">
      <c r="A3006" s="3" t="inlineStr">
        <is>
          <t>조치원읍 신안리 390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120000</v>
      </c>
      <c r="G3006" s="4" t="n">
        <v>525</v>
      </c>
      <c r="H3006" s="4" t="n">
        <v>159</v>
      </c>
      <c r="I3006" s="5" t="n">
        <v>754.7</v>
      </c>
      <c r="J3006" s="5" t="n">
        <v>418.5</v>
      </c>
      <c r="K3006" s="3" t="inlineStr">
        <is>
          <t>대지가격으로 매매합니다.12억평750만원</t>
        </is>
      </c>
      <c r="L3006" s="6">
        <f>HYPERLINK("https://fin.land.naver.com/articles/2650957174", "매물Link")</f>
        <v/>
      </c>
      <c r="M3006" s="6">
        <f>HYPERLINK("https://map.naver.com/p/search/조치원읍 신안리 390", "지도Link")</f>
        <v/>
      </c>
      <c r="N3006" s="6">
        <f>HYPERLINK("http://www.eum.go.kr/web/ar/lu/luLandDet.jsp?pnu=3611025032103900000&amp;isNoScr=script&amp;mode=search", "토지이음")</f>
        <v/>
      </c>
      <c r="O3006" s="3" t="inlineStr">
        <is>
          <t>고잔역</t>
        </is>
      </c>
      <c r="P3006" s="4" t="n">
        <v>1</v>
      </c>
      <c r="Q3006" s="4" t="n">
        <v>515</v>
      </c>
      <c r="R3006" s="3" t="inlineStr">
        <is>
          <t>지정되지않음</t>
        </is>
      </c>
      <c r="S3006" s="3" t="inlineStr">
        <is>
          <t>상업용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중로각지</t>
        </is>
      </c>
    </row>
    <row r="3007">
      <c r="A3007" s="3" t="inlineStr">
        <is>
          <t>조치원읍 신안리 436-3</t>
        </is>
      </c>
      <c r="B3007" s="3" t="inlineStr">
        <is>
          <t>자연녹지지역</t>
        </is>
      </c>
      <c r="C3007" s="3" t="inlineStr">
        <is>
          <t>전</t>
        </is>
      </c>
      <c r="D3007" s="3" t="inlineStr">
        <is>
          <t>답</t>
        </is>
      </c>
      <c r="E3007" s="3" t="inlineStr">
        <is>
          <t>매매</t>
        </is>
      </c>
      <c r="F3007" s="4" t="n">
        <v>46000</v>
      </c>
      <c r="G3007" s="4" t="n">
        <v>662</v>
      </c>
      <c r="H3007" s="4" t="n">
        <v>200</v>
      </c>
      <c r="I3007" s="5" t="n">
        <v>230</v>
      </c>
      <c r="J3007" s="5" t="n">
        <v>67.8</v>
      </c>
      <c r="K3007" s="3" t="inlineStr">
        <is>
          <t>조치원읍 신안리 자연녹지 토지, 네모반듯, 신안지구 개발지, 단독주택</t>
        </is>
      </c>
      <c r="L3007" s="6">
        <f>HYPERLINK("https://fin.land.naver.com/articles/2654029198", "매물Link")</f>
        <v/>
      </c>
      <c r="M3007" s="6">
        <f>HYPERLINK("https://map.naver.com/p/search/조치원읍 신안리 436-3", "지도Link")</f>
        <v/>
      </c>
      <c r="N3007" s="6">
        <f>HYPERLINK("http://www.eum.go.kr/web/ar/lu/luLandDet.jsp?pnu=3611025032104360003&amp;isNoScr=script&amp;mode=search", "토지이음")</f>
        <v/>
      </c>
      <c r="O3007" s="3" t="inlineStr">
        <is>
          <t>스카이</t>
        </is>
      </c>
      <c r="P3007" s="4" t="n">
        <v>1</v>
      </c>
      <c r="Q3007" s="4" t="n">
        <v>662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사다리형</t>
        </is>
      </c>
      <c r="V3007" s="3" t="inlineStr">
        <is>
          <t>세로한면(가)</t>
        </is>
      </c>
    </row>
    <row r="3008">
      <c r="A3008" s="3" t="inlineStr">
        <is>
          <t>조치원읍 신안리 436-3</t>
        </is>
      </c>
      <c r="B3008" s="3" t="inlineStr">
        <is>
          <t>자연녹지지역</t>
        </is>
      </c>
      <c r="C3008" s="3" t="inlineStr">
        <is>
          <t>전</t>
        </is>
      </c>
      <c r="D3008" s="3" t="inlineStr">
        <is>
          <t>답</t>
        </is>
      </c>
      <c r="E3008" s="3" t="inlineStr">
        <is>
          <t>매매</t>
        </is>
      </c>
      <c r="F3008" s="4" t="n">
        <v>46000</v>
      </c>
      <c r="G3008" s="4" t="n">
        <v>662</v>
      </c>
      <c r="H3008" s="4" t="n">
        <v>200</v>
      </c>
      <c r="I3008" s="5" t="n">
        <v>230</v>
      </c>
      <c r="J3008" s="5" t="n">
        <v>67.8</v>
      </c>
      <c r="K3008" s="3" t="inlineStr">
        <is>
          <t>이편한세상 아파트 983세대  초인접 공영주차장 이용가능</t>
        </is>
      </c>
      <c r="L3008" s="6">
        <f>HYPERLINK("https://fin.land.naver.com/articles/2656044322", "매물Link")</f>
        <v/>
      </c>
      <c r="M3008" s="6">
        <f>HYPERLINK("https://map.naver.com/p/search/조치원읍 신안리 436-3", "지도Link")</f>
        <v/>
      </c>
      <c r="N3008" s="6">
        <f>HYPERLINK("http://www.eum.go.kr/web/ar/lu/luLandDet.jsp?pnu=3611025032104360003&amp;isNoScr=script&amp;mode=search", "토지이음")</f>
        <v/>
      </c>
      <c r="O3008" s="3" t="inlineStr">
        <is>
          <t>그래그</t>
        </is>
      </c>
      <c r="P3008" s="4" t="n">
        <v>2</v>
      </c>
      <c r="Q3008" s="4" t="n">
        <v>662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신안리 436-4</t>
        </is>
      </c>
      <c r="B3009" s="3" t="inlineStr">
        <is>
          <t>자연녹지지역</t>
        </is>
      </c>
      <c r="C3009" s="3" t="inlineStr">
        <is>
          <t>전</t>
        </is>
      </c>
      <c r="D3009" s="3" t="inlineStr">
        <is>
          <t>답</t>
        </is>
      </c>
      <c r="E3009" s="3" t="inlineStr">
        <is>
          <t>매매</t>
        </is>
      </c>
      <c r="F3009" s="4" t="n">
        <v>120000</v>
      </c>
      <c r="G3009" s="4" t="n">
        <v>1256</v>
      </c>
      <c r="H3009" s="4" t="n">
        <v>380</v>
      </c>
      <c r="I3009" s="5" t="n">
        <v>315.8</v>
      </c>
      <c r="J3009" s="5" t="n">
        <v>72.2</v>
      </c>
      <c r="K3009" s="3" t="inlineStr">
        <is>
          <t>신안리 이편한세상 아파트 초인접, 3면 포장도로 접한 음식점,커피숍</t>
        </is>
      </c>
      <c r="L3009" s="6">
        <f>HYPERLINK("https://fin.land.naver.com/articles/2650955165", "매물Link")</f>
        <v/>
      </c>
      <c r="M3009" s="6">
        <f>HYPERLINK("https://map.naver.com/p/search/조치원읍 신안리 436-4", "지도Link")</f>
        <v/>
      </c>
      <c r="N3009" s="6">
        <f>HYPERLINK("http://www.eum.go.kr/web/ar/lu/luLandDet.jsp?pnu=3611025032104360004&amp;isNoScr=script&amp;mode=search", "토지이음")</f>
        <v/>
      </c>
      <c r="O3009" s="3" t="inlineStr">
        <is>
          <t>세종나라</t>
        </is>
      </c>
      <c r="P3009" s="4" t="n">
        <v>1</v>
      </c>
      <c r="Q3009" s="4" t="n">
        <v>932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완경사</t>
        </is>
      </c>
      <c r="U3009" s="3" t="inlineStr">
        <is>
          <t>사다리형</t>
        </is>
      </c>
      <c r="V3009" s="3" t="inlineStr">
        <is>
          <t>소로한면</t>
        </is>
      </c>
    </row>
    <row r="3010">
      <c r="A3010" s="3" t="inlineStr">
        <is>
          <t>조치원읍 신안리 436-4</t>
        </is>
      </c>
      <c r="B3010" s="3" t="inlineStr">
        <is>
          <t>자연녹지지역</t>
        </is>
      </c>
      <c r="C3010" s="3" t="inlineStr">
        <is>
          <t>전</t>
        </is>
      </c>
      <c r="D3010" s="3" t="inlineStr">
        <is>
          <t>답</t>
        </is>
      </c>
      <c r="E3010" s="3" t="inlineStr">
        <is>
          <t>매매</t>
        </is>
      </c>
      <c r="F3010" s="4" t="n">
        <v>120000</v>
      </c>
      <c r="G3010" s="4" t="n">
        <v>1256</v>
      </c>
      <c r="H3010" s="4" t="n">
        <v>380</v>
      </c>
      <c r="I3010" s="5" t="n">
        <v>315.8</v>
      </c>
      <c r="J3010" s="5" t="n">
        <v>72.2</v>
      </c>
      <c r="K3010" s="3" t="inlineStr">
        <is>
          <t>신안리 자연녹지 토지, 3면도로 접, 아파트개발지 옆, 근생시설 등</t>
        </is>
      </c>
      <c r="L3010" s="6">
        <f>HYPERLINK("https://fin.land.naver.com/articles/2654029011", "매물Link")</f>
        <v/>
      </c>
      <c r="M3010" s="6">
        <f>HYPERLINK("https://map.naver.com/p/search/조치원읍 신안리 436-4", "지도Link")</f>
        <v/>
      </c>
      <c r="N3010" s="6">
        <f>HYPERLINK("http://www.eum.go.kr/web/ar/lu/luLandDet.jsp?pnu=3611025032104360004&amp;isNoScr=script&amp;mode=search", "토지이음")</f>
        <v/>
      </c>
      <c r="O3010" s="3" t="inlineStr">
        <is>
          <t>스카이</t>
        </is>
      </c>
      <c r="P3010" s="4" t="n">
        <v>1</v>
      </c>
      <c r="Q3010" s="4" t="n">
        <v>932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완경사</t>
        </is>
      </c>
      <c r="U3010" s="3" t="inlineStr">
        <is>
          <t>사다리형</t>
        </is>
      </c>
      <c r="V3010" s="3" t="inlineStr">
        <is>
          <t>소로한면</t>
        </is>
      </c>
    </row>
    <row r="3011">
      <c r="A3011" s="3" t="inlineStr">
        <is>
          <t>조치원읍 신안리 436-4</t>
        </is>
      </c>
      <c r="B3011" s="3" t="inlineStr">
        <is>
          <t>자연녹지지역</t>
        </is>
      </c>
      <c r="C3011" s="3" t="inlineStr">
        <is>
          <t>전</t>
        </is>
      </c>
      <c r="D3011" s="3" t="inlineStr">
        <is>
          <t>답</t>
        </is>
      </c>
      <c r="E3011" s="3" t="inlineStr">
        <is>
          <t>매매</t>
        </is>
      </c>
      <c r="F3011" s="4" t="n">
        <v>120000</v>
      </c>
      <c r="G3011" s="4" t="n">
        <v>932</v>
      </c>
      <c r="H3011" s="4" t="n">
        <v>282</v>
      </c>
      <c r="I3011" s="5" t="n">
        <v>425.5</v>
      </c>
      <c r="J3011" s="5" t="n">
        <v>72.2</v>
      </c>
      <c r="K3011" s="3" t="inlineStr">
        <is>
          <t>3면 포장도로 접함 이편한세상 984세대 인접 공영주차장이용가능</t>
        </is>
      </c>
      <c r="L3011" s="6">
        <f>HYPERLINK("https://fin.land.naver.com/articles/2656044633", "매물Link")</f>
        <v/>
      </c>
      <c r="M3011" s="6">
        <f>HYPERLINK("https://map.naver.com/p/search/조치원읍 신안리 436-4", "지도Link")</f>
        <v/>
      </c>
      <c r="N3011" s="6">
        <f>HYPERLINK("http://www.eum.go.kr/web/ar/lu/luLandDet.jsp?pnu=3611025032104360004&amp;isNoScr=script&amp;mode=search", "토지이음")</f>
        <v/>
      </c>
      <c r="O3011" s="3" t="inlineStr">
        <is>
          <t>그래그</t>
        </is>
      </c>
      <c r="P3011" s="4" t="n">
        <v>1</v>
      </c>
      <c r="Q3011" s="4" t="n">
        <v>932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사다리형</t>
        </is>
      </c>
      <c r="V3011" s="3" t="inlineStr">
        <is>
          <t>소로한면</t>
        </is>
      </c>
    </row>
    <row r="3012">
      <c r="A3012" s="3" t="inlineStr">
        <is>
          <t>조치원읍 신안리 445-4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150000</v>
      </c>
      <c r="G3012" s="4" t="n">
        <v>635</v>
      </c>
      <c r="H3012" s="4" t="n">
        <v>192</v>
      </c>
      <c r="I3012" s="5" t="n">
        <v>781.2</v>
      </c>
      <c r="J3012" s="5" t="n">
        <v>336.2</v>
      </c>
      <c r="K3012" s="3" t="inlineStr">
        <is>
          <t>입지가 최상인 토지입니다.</t>
        </is>
      </c>
      <c r="L3012" s="6">
        <f>HYPERLINK("https://fin.land.naver.com/articles/2655662987", "매물Link")</f>
        <v/>
      </c>
      <c r="M3012" s="6">
        <f>HYPERLINK("https://map.naver.com/p/search/조치원읍 신안리 445-4", "지도Link")</f>
        <v/>
      </c>
      <c r="N3012" s="6">
        <f>HYPERLINK("http://www.eum.go.kr/web/ar/lu/luLandDet.jsp?pnu=3611025032104450004&amp;isNoScr=script&amp;mode=search", "토지이음")</f>
        <v/>
      </c>
      <c r="O3012" s="3" t="inlineStr">
        <is>
          <t>부자터</t>
        </is>
      </c>
      <c r="P3012" s="4" t="n">
        <v>1</v>
      </c>
      <c r="Q3012" s="4" t="n">
        <v>635</v>
      </c>
      <c r="R3012" s="3" t="inlineStr">
        <is>
          <t>지정되지않음</t>
        </is>
      </c>
      <c r="S3012" s="3" t="inlineStr">
        <is>
          <t>주상기타</t>
        </is>
      </c>
      <c r="T3012" s="3" t="inlineStr">
        <is>
          <t>평지</t>
        </is>
      </c>
      <c r="U3012" s="3" t="inlineStr">
        <is>
          <t>사다리형</t>
        </is>
      </c>
      <c r="V3012" s="3" t="inlineStr">
        <is>
          <t>소로한면</t>
        </is>
      </c>
    </row>
    <row r="3013">
      <c r="A3013" s="3" t="inlineStr">
        <is>
          <t>조치원읍 신안리 산13</t>
        </is>
      </c>
      <c r="B3013" s="3" t="inlineStr">
        <is>
          <t>자연녹지지역</t>
        </is>
      </c>
      <c r="C3013" s="3" t="inlineStr">
        <is>
          <t>임야</t>
        </is>
      </c>
      <c r="D3013" s="3" t="inlineStr">
        <is>
          <t>임야</t>
        </is>
      </c>
      <c r="E3013" s="3" t="inlineStr">
        <is>
          <t>매매</t>
        </is>
      </c>
      <c r="F3013" s="4" t="n">
        <v>300000</v>
      </c>
      <c r="G3013" s="4" t="n">
        <v>10909</v>
      </c>
      <c r="H3013" s="4" t="n">
        <v>3300</v>
      </c>
      <c r="I3013" s="5" t="n">
        <v>90.90000000000001</v>
      </c>
      <c r="J3013" s="5" t="n">
        <v>18.7</v>
      </c>
      <c r="K3013" s="3" t="inlineStr">
        <is>
          <t>제2종일반주거지역 성장관리계획구역</t>
        </is>
      </c>
      <c r="L3013" s="6">
        <f>HYPERLINK("https://fin.land.naver.com/articles/2652865397", "매물Link")</f>
        <v/>
      </c>
      <c r="M3013" s="6">
        <f>HYPERLINK("https://map.naver.com/p/search/조치원읍 신안리 산13", "지도Link")</f>
        <v/>
      </c>
      <c r="N3013" s="6">
        <f>HYPERLINK("http://www.eum.go.kr/web/ar/lu/luLandDet.jsp?pnu=3611025032200130000&amp;isNoScr=script&amp;mode=search", "토지이음")</f>
        <v/>
      </c>
      <c r="O3013" s="3" t="inlineStr">
        <is>
          <t>건국</t>
        </is>
      </c>
      <c r="P3013" s="4" t="n">
        <v>1</v>
      </c>
      <c r="Q3013" s="4" t="n">
        <v>10909</v>
      </c>
      <c r="R3013" s="3" t="inlineStr">
        <is>
          <t>제2종일반주거지역</t>
        </is>
      </c>
      <c r="S3013" s="3" t="inlineStr">
        <is>
          <t>자연림</t>
        </is>
      </c>
      <c r="T3013" s="3" t="inlineStr">
        <is>
          <t>급경사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신안리 산8-37</t>
        </is>
      </c>
      <c r="B3014" s="3" t="inlineStr">
        <is>
          <t>자연녹지지역</t>
        </is>
      </c>
      <c r="C3014" s="3" t="inlineStr">
        <is>
          <t>임야</t>
        </is>
      </c>
      <c r="D3014" s="3" t="inlineStr">
        <is>
          <t>임야</t>
        </is>
      </c>
      <c r="E3014" s="3" t="inlineStr">
        <is>
          <t>매매</t>
        </is>
      </c>
      <c r="F3014" s="4" t="n">
        <v>150000</v>
      </c>
      <c r="G3014" s="4" t="n">
        <v>10118</v>
      </c>
      <c r="H3014" s="4" t="n">
        <v>3061</v>
      </c>
      <c r="I3014" s="5" t="n">
        <v>49</v>
      </c>
      <c r="J3014" s="5" t="n">
        <v>9.199999999999999</v>
      </c>
      <c r="K3014" s="3" t="inlineStr">
        <is>
          <t>총5필지,세종 홍대근접,도로접</t>
        </is>
      </c>
      <c r="L3014" s="6">
        <f>HYPERLINK("https://fin.land.naver.com/articles/2651521476", "매물Link")</f>
        <v/>
      </c>
      <c r="M3014" s="6">
        <f>HYPERLINK("https://map.naver.com/p/search/조치원읍 신안리 산8-37", "지도Link")</f>
        <v/>
      </c>
      <c r="N3014" s="6">
        <f>HYPERLINK("http://www.eum.go.kr/web/ar/lu/luLandDet.jsp?pnu=3611025032200080037&amp;isNoScr=script&amp;mode=search", "토지이음")</f>
        <v/>
      </c>
      <c r="O3014" s="3" t="inlineStr">
        <is>
          <t>담뜰</t>
        </is>
      </c>
      <c r="P3014" s="4" t="n">
        <v>1</v>
      </c>
      <c r="Q3014" s="4" t="n">
        <v>1652</v>
      </c>
      <c r="R3014" s="3" t="inlineStr">
        <is>
          <t>보전녹지지역</t>
        </is>
      </c>
      <c r="S3014" s="3" t="inlineStr">
        <is>
          <t>자연림</t>
        </is>
      </c>
      <c r="T3014" s="3" t="inlineStr">
        <is>
          <t>급경사</t>
        </is>
      </c>
      <c r="U3014" s="3" t="inlineStr">
        <is>
          <t>사다리형</t>
        </is>
      </c>
      <c r="V3014" s="3" t="inlineStr">
        <is>
          <t>맹지</t>
        </is>
      </c>
    </row>
    <row r="3015">
      <c r="A3015" s="3" t="inlineStr">
        <is>
          <t>조치원읍 신흥리 1-5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77000</v>
      </c>
      <c r="G3015" s="4" t="n">
        <v>513</v>
      </c>
      <c r="H3015" s="4" t="n">
        <v>155</v>
      </c>
      <c r="I3015" s="5" t="n">
        <v>496.8</v>
      </c>
      <c r="J3015" s="5" t="n">
        <v>188.2</v>
      </c>
      <c r="K3015" s="3" t="inlineStr">
        <is>
          <t>신흥리 코너 넓은 나대지 활용가치좋음,금액협의</t>
        </is>
      </c>
      <c r="L3015" s="6">
        <f>HYPERLINK("https://fin.land.naver.com/articles/2651981278", "매물Link")</f>
        <v/>
      </c>
      <c r="M3015" s="6">
        <f>HYPERLINK("https://map.naver.com/p/search/조치원읍 신흥리 1-5", "지도Link")</f>
        <v/>
      </c>
      <c r="N3015" s="6">
        <f>HYPERLINK("http://www.eum.go.kr/web/ar/lu/luLandDet.jsp?pnu=3611025029100010005&amp;isNoScr=script&amp;mode=search", "토지이음")</f>
        <v/>
      </c>
      <c r="O3015" s="3" t="inlineStr">
        <is>
          <t>다옴</t>
        </is>
      </c>
      <c r="P3015" s="4" t="n">
        <v>1</v>
      </c>
      <c r="Q3015" s="4" t="n">
        <v>513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소로각지</t>
        </is>
      </c>
    </row>
    <row r="3016">
      <c r="A3016" s="3" t="inlineStr">
        <is>
          <t>조치원읍 신흥리 100-2</t>
        </is>
      </c>
      <c r="B3016" s="3" t="inlineStr">
        <is>
          <t>제2종일반주거지역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17000</v>
      </c>
      <c r="G3016" s="4" t="n">
        <v>188</v>
      </c>
      <c r="H3016" s="4" t="n">
        <v>57</v>
      </c>
      <c r="I3016" s="5" t="n">
        <v>298.2</v>
      </c>
      <c r="J3016" s="5" t="n">
        <v>196.8</v>
      </c>
      <c r="K3016" s="3" t="inlineStr">
        <is>
          <t>신흥리 2종일반주거지역 급매. 맹지이나 진입로 있음</t>
        </is>
      </c>
      <c r="L3016" s="6">
        <f>HYPERLINK("https://fin.land.naver.com/articles/2652663257", "매물Link")</f>
        <v/>
      </c>
      <c r="M3016" s="6">
        <f>HYPERLINK("https://map.naver.com/p/search/조치원읍 신흥리 100-2", "지도Link")</f>
        <v/>
      </c>
      <c r="N3016" s="6">
        <f>HYPERLINK("http://www.eum.go.kr/web/ar/lu/luLandDet.jsp?pnu=3611025029101000002&amp;isNoScr=script&amp;mode=search", "토지이음")</f>
        <v/>
      </c>
      <c r="O3016" s="3" t="inlineStr">
        <is>
          <t>세종대장</t>
        </is>
      </c>
      <c r="P3016" s="4" t="n">
        <v>1</v>
      </c>
      <c r="Q3016" s="4" t="n">
        <v>188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세로한면(불)</t>
        </is>
      </c>
    </row>
    <row r="3017">
      <c r="A3017" s="3" t="inlineStr">
        <is>
          <t>조치원읍 신흥리 198-1</t>
        </is>
      </c>
      <c r="B3017" s="3" t="inlineStr">
        <is>
          <t>제2종일반주거지역</t>
        </is>
      </c>
      <c r="C3017" s="3" t="inlineStr">
        <is>
          <t>잡종지</t>
        </is>
      </c>
      <c r="D3017" s="3" t="inlineStr">
        <is>
          <t>잡종지</t>
        </is>
      </c>
      <c r="E3017" s="3" t="inlineStr">
        <is>
          <t>매매</t>
        </is>
      </c>
      <c r="F3017" s="4" t="n">
        <v>390000</v>
      </c>
      <c r="G3017" s="4" t="n">
        <v>1797</v>
      </c>
      <c r="H3017" s="4" t="n">
        <v>544</v>
      </c>
      <c r="I3017" s="5" t="n">
        <v>716.9</v>
      </c>
      <c r="J3017" s="5" t="n">
        <v>435.4</v>
      </c>
      <c r="K3017" s="3" t="inlineStr">
        <is>
          <t>신흥 아파트단지 중심지역 대도로변 코너각지</t>
        </is>
      </c>
      <c r="L3017" s="6">
        <f>HYPERLINK("https://fin.land.naver.com/articles/2654528051", "매물Link")</f>
        <v/>
      </c>
      <c r="M3017" s="6">
        <f>HYPERLINK("https://map.naver.com/p/search/조치원읍 신흥리 198-1", "지도Link")</f>
        <v/>
      </c>
      <c r="N3017" s="6">
        <f>HYPERLINK("http://www.eum.go.kr/web/ar/lu/luLandDet.jsp?pnu=3611025029101980001&amp;isNoScr=script&amp;mode=search", "토지이음")</f>
        <v/>
      </c>
      <c r="O3017" s="3" t="inlineStr">
        <is>
          <t>뉴신세계</t>
        </is>
      </c>
      <c r="P3017" s="4" t="n">
        <v>2</v>
      </c>
      <c r="Q3017" s="4" t="n">
        <v>1797</v>
      </c>
      <c r="R3017" s="3" t="inlineStr">
        <is>
          <t>지정되지않음</t>
        </is>
      </c>
      <c r="S3017" s="3" t="inlineStr">
        <is>
          <t>상업용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중로각지</t>
        </is>
      </c>
    </row>
    <row r="3018">
      <c r="A3018" s="3" t="inlineStr">
        <is>
          <t>조치원읍 신흥리 288-1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31000</v>
      </c>
      <c r="G3018" s="4" t="n">
        <v>245</v>
      </c>
      <c r="H3018" s="4" t="n">
        <v>74</v>
      </c>
      <c r="I3018" s="5" t="n">
        <v>418.9</v>
      </c>
      <c r="J3018" s="5" t="n">
        <v>246.6</v>
      </c>
      <c r="K3018" s="3" t="inlineStr">
        <is>
          <t>추천. 조치원 신흥사거리 대지</t>
        </is>
      </c>
      <c r="L3018" s="6">
        <f>HYPERLINK("https://fin.land.naver.com/articles/2654805366", "매물Link")</f>
        <v/>
      </c>
      <c r="M3018" s="6">
        <f>HYPERLINK("https://map.naver.com/p/search/조치원읍 신흥리 288-1", "지도Link")</f>
        <v/>
      </c>
      <c r="N3018" s="6">
        <f>HYPERLINK("http://www.eum.go.kr/web/ar/lu/luLandDet.jsp?pnu=3611025029102880001&amp;isNoScr=script&amp;mode=search", "토지이음")</f>
        <v/>
      </c>
      <c r="O3018" s="3" t="inlineStr">
        <is>
          <t>강아지풀</t>
        </is>
      </c>
      <c r="P3018" s="4" t="n">
        <v>1</v>
      </c>
      <c r="Q3018" s="4" t="n">
        <v>245</v>
      </c>
      <c r="R3018" s="3" t="inlineStr">
        <is>
          <t>지정되지않음</t>
        </is>
      </c>
      <c r="S3018" s="3" t="inlineStr">
        <is>
          <t>단독</t>
        </is>
      </c>
      <c r="T3018" s="3" t="inlineStr">
        <is>
          <t>평지</t>
        </is>
      </c>
      <c r="U3018" s="3" t="inlineStr">
        <is>
          <t>가로장방</t>
        </is>
      </c>
      <c r="V3018" s="3" t="inlineStr">
        <is>
          <t>소로한면</t>
        </is>
      </c>
    </row>
    <row r="3019">
      <c r="A3019" s="3" t="inlineStr">
        <is>
          <t>조치원읍 신흥리 288-1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31000</v>
      </c>
      <c r="G3019" s="4" t="n">
        <v>245</v>
      </c>
      <c r="H3019" s="4" t="n">
        <v>74</v>
      </c>
      <c r="I3019" s="5" t="n">
        <v>418.9</v>
      </c>
      <c r="J3019" s="5" t="n">
        <v>246.6</v>
      </c>
      <c r="K3019" s="3" t="inlineStr">
        <is>
          <t>투자가치가 높은 세종시 조치원읍 신흥리 토지</t>
        </is>
      </c>
      <c r="L3019" s="6">
        <f>HYPERLINK("https://fin.land.naver.com/articles/2654358579", "매물Link")</f>
        <v/>
      </c>
      <c r="M3019" s="6">
        <f>HYPERLINK("https://map.naver.com/p/search/조치원읍 신흥리 288-1", "지도Link")</f>
        <v/>
      </c>
      <c r="N3019" s="6">
        <f>HYPERLINK("http://www.eum.go.kr/web/ar/lu/luLandDet.jsp?pnu=3611025029102880001&amp;isNoScr=script&amp;mode=search", "토지이음")</f>
        <v/>
      </c>
      <c r="O3019" s="3" t="inlineStr">
        <is>
          <t>비전</t>
        </is>
      </c>
      <c r="P3019" s="4" t="n">
        <v>1</v>
      </c>
      <c r="Q3019" s="4" t="n">
        <v>245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가로장방</t>
        </is>
      </c>
      <c r="V3019" s="3" t="inlineStr">
        <is>
          <t>소로한면</t>
        </is>
      </c>
    </row>
    <row r="3020">
      <c r="A3020" s="3" t="inlineStr">
        <is>
          <t>조치원읍 신흥리 288-2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45000</v>
      </c>
      <c r="G3020" s="4" t="n">
        <v>299</v>
      </c>
      <c r="H3020" s="4" t="n">
        <v>90</v>
      </c>
      <c r="I3020" s="5" t="n">
        <v>500</v>
      </c>
      <c r="J3020" s="5" t="n">
        <v>244.2</v>
      </c>
      <c r="K3020" s="3" t="inlineStr">
        <is>
          <t>투자가치가 높은 세종시 조치원읍 신흥리 토지</t>
        </is>
      </c>
      <c r="L3020" s="6">
        <f>HYPERLINK("https://fin.land.naver.com/articles/2654230232", "매물Link")</f>
        <v/>
      </c>
      <c r="M3020" s="6">
        <f>HYPERLINK("https://map.naver.com/p/search/조치원읍 신흥리 288-2", "지도Link")</f>
        <v/>
      </c>
      <c r="N3020" s="6">
        <f>HYPERLINK("http://www.eum.go.kr/web/ar/lu/luLandDet.jsp?pnu=3611025029102880002&amp;isNoScr=script&amp;mode=search", "토지이음")</f>
        <v/>
      </c>
      <c r="O3020" s="3" t="inlineStr">
        <is>
          <t>비전</t>
        </is>
      </c>
      <c r="P3020" s="4" t="n">
        <v>1</v>
      </c>
      <c r="Q3020" s="4" t="n">
        <v>299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조치원읍 신흥리 304-1</t>
        </is>
      </c>
      <c r="B3021" s="3" t="inlineStr">
        <is>
          <t>제1종일반주거지역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205000</v>
      </c>
      <c r="G3021" s="4" t="n">
        <v>1679</v>
      </c>
      <c r="H3021" s="4" t="n">
        <v>508</v>
      </c>
      <c r="I3021" s="5" t="n">
        <v>403.5</v>
      </c>
      <c r="J3021" s="5" t="n">
        <v>147.3</v>
      </c>
      <c r="K3021" s="3" t="inlineStr">
        <is>
          <t>이쁜 모양의 토지 분할매수도 가능</t>
        </is>
      </c>
      <c r="L3021" s="6">
        <f>HYPERLINK("https://fin.land.naver.com/articles/2651577271", "매물Link")</f>
        <v/>
      </c>
      <c r="M3021" s="6">
        <f>HYPERLINK("https://map.naver.com/p/search/조치원읍 신흥리 304-1", "지도Link")</f>
        <v/>
      </c>
      <c r="N3021" s="6">
        <f>HYPERLINK("http://www.eum.go.kr/web/ar/lu/luLandDet.jsp?pnu=3611025029103040001&amp;isNoScr=script&amp;mode=search", "토지이음")</f>
        <v/>
      </c>
      <c r="O3021" s="3" t="inlineStr">
        <is>
          <t>여기로</t>
        </is>
      </c>
      <c r="P3021" s="4" t="n">
        <v>1</v>
      </c>
      <c r="Q3021" s="4" t="n">
        <v>1667</v>
      </c>
      <c r="R3021" s="3" t="inlineStr">
        <is>
          <t>지정되지않음</t>
        </is>
      </c>
      <c r="S3021" s="3" t="inlineStr">
        <is>
          <t>과수원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세로한면(가)</t>
        </is>
      </c>
    </row>
    <row r="3022">
      <c r="A3022" s="3" t="inlineStr">
        <is>
          <t>조치원읍 신흥리 49-19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33000</v>
      </c>
      <c r="G3022" s="4" t="n">
        <v>239</v>
      </c>
      <c r="H3022" s="4" t="n">
        <v>72</v>
      </c>
      <c r="I3022" s="5" t="n">
        <v>458.3</v>
      </c>
      <c r="J3022" s="5" t="n">
        <v>161.8</v>
      </c>
      <c r="K3022" s="3" t="inlineStr">
        <is>
          <t>급,조치원역 뒤,신축,투자,보유 좋은 저렴토지</t>
        </is>
      </c>
      <c r="L3022" s="6">
        <f>HYPERLINK("https://fin.land.naver.com/articles/2651980448", "매물Link")</f>
        <v/>
      </c>
      <c r="M3022" s="6">
        <f>HYPERLINK("https://map.naver.com/p/search/조치원읍 신흥리 49-19", "지도Link")</f>
        <v/>
      </c>
      <c r="N3022" s="6">
        <f>HYPERLINK("http://www.eum.go.kr/web/ar/lu/luLandDet.jsp?pnu=3611025029100490019&amp;isNoScr=script&amp;mode=search", "토지이음")</f>
        <v/>
      </c>
      <c r="O3022" s="3" t="inlineStr">
        <is>
          <t>다옴</t>
        </is>
      </c>
      <c r="P3022" s="4" t="n">
        <v>1</v>
      </c>
      <c r="Q3022" s="4" t="n">
        <v>130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자루형</t>
        </is>
      </c>
      <c r="V3022" s="3" t="inlineStr">
        <is>
          <t>세로한면(가)</t>
        </is>
      </c>
    </row>
    <row r="3023">
      <c r="A3023" s="3" t="inlineStr">
        <is>
          <t>조치원읍 신흥리 55-2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22000</v>
      </c>
      <c r="G3023" s="4" t="n">
        <v>121</v>
      </c>
      <c r="H3023" s="4" t="n">
        <v>37</v>
      </c>
      <c r="I3023" s="5" t="n">
        <v>594.6</v>
      </c>
      <c r="J3023" s="5" t="n">
        <v>187.2</v>
      </c>
      <c r="K3023" s="3" t="inlineStr">
        <is>
          <t>보건소옆 코너각지 토지매매</t>
        </is>
      </c>
      <c r="L3023" s="6">
        <f>HYPERLINK("https://fin.land.naver.com/articles/2653068635", "매물Link")</f>
        <v/>
      </c>
      <c r="M3023" s="6">
        <f>HYPERLINK("https://map.naver.com/p/search/조치원읍 신흥리 55-2", "지도Link")</f>
        <v/>
      </c>
      <c r="N3023" s="6">
        <f>HYPERLINK("http://www.eum.go.kr/web/ar/lu/luLandDet.jsp?pnu=3611025029100550002&amp;isNoScr=script&amp;mode=search", "토지이음")</f>
        <v/>
      </c>
      <c r="O3023" s="3" t="inlineStr">
        <is>
          <t>세종땅사랑</t>
        </is>
      </c>
      <c r="P3023" s="4" t="n">
        <v>1</v>
      </c>
      <c r="Q3023" s="4" t="n">
        <v>121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사다리형</t>
        </is>
      </c>
      <c r="V3023" s="3" t="inlineStr">
        <is>
          <t>소로각지</t>
        </is>
      </c>
    </row>
    <row r="3024">
      <c r="A3024" s="3" t="inlineStr">
        <is>
          <t>조치원읍 신흥리 62-8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63900</v>
      </c>
      <c r="G3024" s="4" t="n">
        <v>469</v>
      </c>
      <c r="H3024" s="4" t="n">
        <v>142</v>
      </c>
      <c r="I3024" s="5" t="n">
        <v>450</v>
      </c>
      <c r="J3024" s="5" t="n">
        <v>302.4</v>
      </c>
      <c r="K3024" s="3" t="inlineStr">
        <is>
          <t>신흥리 2차선 접한 토지 사옥및주택추천</t>
        </is>
      </c>
      <c r="L3024" s="6">
        <f>HYPERLINK("https://fin.land.naver.com/articles/2651708291", "매물Link")</f>
        <v/>
      </c>
      <c r="M3024" s="6">
        <f>HYPERLINK("https://map.naver.com/p/search/조치원읍 신흥리 62-8", "지도Link")</f>
        <v/>
      </c>
      <c r="N3024" s="6">
        <f>HYPERLINK("http://www.eum.go.kr/web/ar/lu/luLandDet.jsp?pnu=3611025029100620008&amp;isNoScr=script&amp;mode=search", "토지이음")</f>
        <v/>
      </c>
      <c r="O3024" s="3" t="inlineStr">
        <is>
          <t>OK수</t>
        </is>
      </c>
      <c r="P3024" s="4" t="n">
        <v>1</v>
      </c>
      <c r="Q3024" s="4" t="n">
        <v>400</v>
      </c>
      <c r="R3024" s="3" t="inlineStr">
        <is>
          <t>지정되지않음</t>
        </is>
      </c>
      <c r="S3024" s="3" t="inlineStr">
        <is>
          <t>공업용</t>
        </is>
      </c>
      <c r="T3024" s="3" t="inlineStr">
        <is>
          <t>평지</t>
        </is>
      </c>
      <c r="U3024" s="3" t="inlineStr">
        <is>
          <t>자루형</t>
        </is>
      </c>
      <c r="V3024" s="3" t="inlineStr">
        <is>
          <t>소로한면</t>
        </is>
      </c>
    </row>
    <row r="3025">
      <c r="A3025" s="3" t="inlineStr">
        <is>
          <t>조치원읍 신흥리 63-42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260000</v>
      </c>
      <c r="G3025" s="4" t="n">
        <v>787</v>
      </c>
      <c r="H3025" s="4" t="n">
        <v>238</v>
      </c>
      <c r="I3025" s="5" t="n">
        <v>1092.4</v>
      </c>
      <c r="J3025" s="5" t="n">
        <v>400.7</v>
      </c>
      <c r="K3025" s="3" t="inlineStr">
        <is>
          <t>세종시보건소 옆 4차로 도로 코너 토지로 2필지 일괄 매매.</t>
        </is>
      </c>
      <c r="L3025" s="6">
        <f>HYPERLINK("https://fin.land.naver.com/articles/2655717033", "매물Link")</f>
        <v/>
      </c>
      <c r="M3025" s="6">
        <f>HYPERLINK("https://map.naver.com/p/search/조치원읍 신흥리 63-42", "지도Link")</f>
        <v/>
      </c>
      <c r="N3025" s="6">
        <f>HYPERLINK("http://www.eum.go.kr/web/ar/lu/luLandDet.jsp?pnu=3611025029100630042&amp;isNoScr=script&amp;mode=search", "토지이음")</f>
        <v/>
      </c>
      <c r="O3025" s="3" t="inlineStr">
        <is>
          <t>세종대장</t>
        </is>
      </c>
      <c r="P3025" s="4" t="n">
        <v>1</v>
      </c>
      <c r="Q3025" s="4" t="n">
        <v>395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사다리형</t>
        </is>
      </c>
      <c r="V3025" s="3" t="inlineStr">
        <is>
          <t>광대소각</t>
        </is>
      </c>
    </row>
    <row r="3026">
      <c r="A3026" s="3" t="inlineStr">
        <is>
          <t>조치원읍 원리 8-9</t>
        </is>
      </c>
      <c r="B3026" s="3" t="inlineStr">
        <is>
          <t>일반상업지역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260000</v>
      </c>
      <c r="G3026" s="4" t="n">
        <v>546</v>
      </c>
      <c r="H3026" s="4" t="n">
        <v>165</v>
      </c>
      <c r="I3026" s="5" t="n">
        <v>1575.8</v>
      </c>
      <c r="J3026" s="5" t="n">
        <v>1082.3</v>
      </c>
      <c r="K3026" s="3" t="inlineStr">
        <is>
          <t>nan</t>
        </is>
      </c>
      <c r="L3026" s="6">
        <f>HYPERLINK("https://fin.land.naver.com/articles/2651529141", "매물Link")</f>
        <v/>
      </c>
      <c r="M3026" s="6">
        <f>HYPERLINK("https://map.naver.com/p/search/조치원읍 원리 8-9", "지도Link")</f>
        <v/>
      </c>
      <c r="N3026" s="6">
        <f>HYPERLINK("http://www.eum.go.kr/web/ar/lu/luLandDet.jsp?pnu=3611025021100080009&amp;isNoScr=script&amp;mode=search", "토지이음")</f>
        <v/>
      </c>
      <c r="O3026" s="3" t="inlineStr">
        <is>
          <t>한아름</t>
        </is>
      </c>
      <c r="P3026" s="4" t="n">
        <v>1</v>
      </c>
      <c r="Q3026" s="4" t="n">
        <v>473.1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자루형</t>
        </is>
      </c>
      <c r="V3026" s="3" t="inlineStr">
        <is>
          <t>중로각지</t>
        </is>
      </c>
    </row>
    <row r="3027">
      <c r="A3027" s="3" t="inlineStr">
        <is>
          <t>조치원읍 정리 52-6</t>
        </is>
      </c>
      <c r="B3027" s="3" t="inlineStr">
        <is>
          <t>준주거지역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260000</v>
      </c>
      <c r="G3027" s="4" t="n">
        <v>1191</v>
      </c>
      <c r="H3027" s="4" t="n">
        <v>360</v>
      </c>
      <c r="I3027" s="5" t="n">
        <v>722.2</v>
      </c>
      <c r="J3027" s="5" t="n">
        <v>194.4</v>
      </c>
      <c r="K3027" s="3" t="inlineStr">
        <is>
          <t>전통시장 근접한 대지로 단독주택 또는 원룸건축에 좋은 위치입니다.</t>
        </is>
      </c>
      <c r="L3027" s="6">
        <f>HYPERLINK("https://fin.land.naver.com/articles/2655515277", "매물Link")</f>
        <v/>
      </c>
      <c r="M3027" s="6">
        <f>HYPERLINK("https://map.naver.com/p/search/조치원읍 정리 52-6", "지도Link")</f>
        <v/>
      </c>
      <c r="N3027" s="6">
        <f>HYPERLINK("http://www.eum.go.kr/web/ar/lu/luLandDet.jsp?pnu=3611025025100520006&amp;isNoScr=script&amp;mode=search", "토지이음")</f>
        <v/>
      </c>
      <c r="O3027" s="3" t="inlineStr">
        <is>
          <t>가람</t>
        </is>
      </c>
      <c r="P3027" s="4" t="n">
        <v>1</v>
      </c>
      <c r="Q3027" s="4" t="n">
        <v>468</v>
      </c>
      <c r="R3027" s="3" t="inlineStr">
        <is>
          <t>지정되지않음</t>
        </is>
      </c>
      <c r="S3027" s="3" t="inlineStr">
        <is>
          <t>단독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세로한면(가)</t>
        </is>
      </c>
    </row>
    <row r="3028">
      <c r="A3028" s="3" t="inlineStr">
        <is>
          <t>조치원읍 정리 87-8</t>
        </is>
      </c>
      <c r="B3028" s="3" t="inlineStr">
        <is>
          <t>일반상업지역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89000</v>
      </c>
      <c r="G3028" s="4" t="n">
        <v>326</v>
      </c>
      <c r="H3028" s="4" t="n">
        <v>99</v>
      </c>
      <c r="I3028" s="5" t="n">
        <v>899</v>
      </c>
      <c r="J3028" s="5" t="n">
        <v>335.5</v>
      </c>
      <c r="K3028" s="3" t="inlineStr">
        <is>
          <t>조치원시장내, 일반상업 알짜토지,다양활용가능</t>
        </is>
      </c>
      <c r="L3028" s="6">
        <f>HYPERLINK("https://fin.land.naver.com/articles/2651333398", "매물Link")</f>
        <v/>
      </c>
      <c r="M3028" s="6">
        <f>HYPERLINK("https://map.naver.com/p/search/조치원읍 정리 87-8", "지도Link")</f>
        <v/>
      </c>
      <c r="N3028" s="6">
        <f>HYPERLINK("http://www.eum.go.kr/web/ar/lu/luLandDet.jsp?pnu=3611025025100870008&amp;isNoScr=script&amp;mode=search", "토지이음")</f>
        <v/>
      </c>
      <c r="O3028" s="3" t="inlineStr">
        <is>
          <t>다옴</t>
        </is>
      </c>
      <c r="P3028" s="4" t="n">
        <v>1</v>
      </c>
      <c r="Q3028" s="4" t="n">
        <v>326</v>
      </c>
      <c r="R3028" s="3" t="inlineStr">
        <is>
          <t>지정되지않음</t>
        </is>
      </c>
      <c r="S3028" s="3" t="inlineStr">
        <is>
          <t>상업용</t>
        </is>
      </c>
      <c r="T3028" s="3" t="inlineStr">
        <is>
          <t>평지</t>
        </is>
      </c>
      <c r="U3028" s="3" t="inlineStr">
        <is>
          <t>자루형</t>
        </is>
      </c>
      <c r="V3028" s="3" t="inlineStr">
        <is>
          <t>세로한면(가)</t>
        </is>
      </c>
    </row>
    <row r="3029">
      <c r="A3029" s="3" t="inlineStr">
        <is>
          <t>조치원읍 죽림리 178-1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36000</v>
      </c>
      <c r="G3029" s="4" t="n">
        <v>168</v>
      </c>
      <c r="H3029" s="4" t="n">
        <v>51</v>
      </c>
      <c r="I3029" s="5" t="n">
        <v>705.9</v>
      </c>
      <c r="J3029" s="5" t="n">
        <v>210.4</v>
      </c>
      <c r="K3029" s="3" t="inlineStr">
        <is>
          <t>죽림리 토지매매, 제2종일반주거지역, 도로 접함</t>
        </is>
      </c>
      <c r="L3029" s="6">
        <f>HYPERLINK("https://fin.land.naver.com/articles/2655354978", "매물Link")</f>
        <v/>
      </c>
      <c r="M3029" s="6">
        <f>HYPERLINK("https://map.naver.com/p/search/조치원읍 죽림리 178-1", "지도Link")</f>
        <v/>
      </c>
      <c r="N3029" s="6">
        <f>HYPERLINK("http://www.eum.go.kr/web/ar/lu/luLandDet.jsp?pnu=3611025030101780001&amp;isNoScr=script&amp;mode=search", "토지이음")</f>
        <v/>
      </c>
      <c r="O3029" s="3" t="inlineStr">
        <is>
          <t>하늘</t>
        </is>
      </c>
      <c r="P3029" s="4" t="n">
        <v>1</v>
      </c>
      <c r="Q3029" s="4" t="n">
        <v>168.3</v>
      </c>
      <c r="R3029" s="3" t="inlineStr">
        <is>
          <t>지정되지않음</t>
        </is>
      </c>
      <c r="S3029" s="3" t="inlineStr">
        <is>
          <t>단독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소로각지</t>
        </is>
      </c>
    </row>
    <row r="3030">
      <c r="A3030" s="3" t="inlineStr">
        <is>
          <t>조치원읍 죽림리 184-15</t>
        </is>
      </c>
      <c r="B3030" s="3" t="inlineStr">
        <is>
          <t>제2종일반주거지역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48500</v>
      </c>
      <c r="G3030" s="4" t="n">
        <v>321</v>
      </c>
      <c r="H3030" s="4" t="n">
        <v>97</v>
      </c>
      <c r="I3030" s="5" t="n">
        <v>500</v>
      </c>
      <c r="J3030" s="5" t="n">
        <v>198.2</v>
      </c>
      <c r="K3030" s="3" t="inlineStr">
        <is>
          <t>2차선3거리코너,주변아파트.상가주택형성,투자가치좋아요</t>
        </is>
      </c>
      <c r="L3030" s="6">
        <f>HYPERLINK("https://fin.land.naver.com/articles/2651762596", "매물Link")</f>
        <v/>
      </c>
      <c r="M3030" s="6">
        <f>HYPERLINK("https://map.naver.com/p/search/조치원읍 죽림리 184-15", "지도Link")</f>
        <v/>
      </c>
      <c r="N3030" s="6">
        <f>HYPERLINK("http://www.eum.go.kr/web/ar/lu/luLandDet.jsp?pnu=3611025030101840015&amp;isNoScr=script&amp;mode=search", "토지이음")</f>
        <v/>
      </c>
      <c r="O3030" s="3" t="inlineStr">
        <is>
          <t>힐스테이트행복</t>
        </is>
      </c>
      <c r="P3030" s="4" t="n">
        <v>1</v>
      </c>
      <c r="Q3030" s="4" t="n">
        <v>321.2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죽림리 240</t>
        </is>
      </c>
      <c r="B3031" s="3" t="inlineStr">
        <is>
          <t>제2종일반주거지역</t>
        </is>
      </c>
      <c r="C3031" s="3" t="inlineStr">
        <is>
          <t>답</t>
        </is>
      </c>
      <c r="D3031" s="3" t="inlineStr">
        <is>
          <t>답</t>
        </is>
      </c>
      <c r="E3031" s="3" t="inlineStr">
        <is>
          <t>매매</t>
        </is>
      </c>
      <c r="F3031" s="4" t="n">
        <v>700000</v>
      </c>
      <c r="G3031" s="4" t="n">
        <v>4045</v>
      </c>
      <c r="H3031" s="4" t="n">
        <v>1224</v>
      </c>
      <c r="I3031" s="5" t="n">
        <v>571.9</v>
      </c>
      <c r="J3031" s="5" t="n">
        <v>131.4</v>
      </c>
      <c r="K3031" s="3" t="inlineStr">
        <is>
          <t>2면 도로접한 도시지역,근생시설,제2종일반주거지역,다용도 사용가능</t>
        </is>
      </c>
      <c r="L3031" s="6">
        <f>HYPERLINK("https://fin.land.naver.com/articles/2653434524", "매물Link")</f>
        <v/>
      </c>
      <c r="M3031" s="6">
        <f>HYPERLINK("https://map.naver.com/p/search/조치원읍 죽림리 240", "지도Link")</f>
        <v/>
      </c>
      <c r="N3031" s="6">
        <f>HYPERLINK("http://www.eum.go.kr/web/ar/lu/luLandDet.jsp?pnu=3611025030102400000&amp;isNoScr=script&amp;mode=search", "토지이음")</f>
        <v/>
      </c>
      <c r="O3031" s="3" t="inlineStr">
        <is>
          <t>고운맘</t>
        </is>
      </c>
      <c r="P3031" s="4" t="n">
        <v>1</v>
      </c>
      <c r="Q3031" s="4" t="n">
        <v>2590</v>
      </c>
      <c r="R3031" s="3" t="inlineStr">
        <is>
          <t>지정되지않음</t>
        </is>
      </c>
      <c r="S3031" s="3" t="inlineStr">
        <is>
          <t>전기타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죽림리 315-2</t>
        </is>
      </c>
      <c r="B3032" s="3" t="inlineStr">
        <is>
          <t>자연녹지지역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695000</v>
      </c>
      <c r="G3032" s="4" t="n">
        <v>5079</v>
      </c>
      <c r="H3032" s="4" t="n">
        <v>1536</v>
      </c>
      <c r="I3032" s="5" t="n">
        <v>452.5</v>
      </c>
      <c r="J3032" s="5" t="n">
        <v>124.8</v>
      </c>
      <c r="K3032" s="3" t="inlineStr">
        <is>
          <t>Click 홈플러스 옆 3필지 도로접 Click</t>
        </is>
      </c>
      <c r="L3032" s="6">
        <f>HYPERLINK("https://fin.land.naver.com/articles/2651207978", "매물Link")</f>
        <v/>
      </c>
      <c r="M3032" s="6">
        <f>HYPERLINK("https://map.naver.com/p/search/조치원읍 죽림리 315-2", "지도Link")</f>
        <v/>
      </c>
      <c r="N3032" s="6">
        <f>HYPERLINK("http://www.eum.go.kr/web/ar/lu/luLandDet.jsp?pnu=3611025030103150002&amp;isNoScr=script&amp;mode=search", "토지이음")</f>
        <v/>
      </c>
      <c r="O3032" s="3" t="inlineStr">
        <is>
          <t>해뜰</t>
        </is>
      </c>
      <c r="P3032" s="4" t="n">
        <v>1</v>
      </c>
      <c r="Q3032" s="4" t="n">
        <v>3538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광대로한면</t>
        </is>
      </c>
    </row>
    <row r="3033">
      <c r="A3033" s="3" t="inlineStr">
        <is>
          <t>조치원읍 죽림리 333-3</t>
        </is>
      </c>
      <c r="B3033" s="3" t="inlineStr">
        <is>
          <t>제2종일반주거지역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240000</v>
      </c>
      <c r="G3033" s="4" t="n">
        <v>1061</v>
      </c>
      <c r="H3033" s="4" t="n">
        <v>321</v>
      </c>
      <c r="I3033" s="5" t="n">
        <v>747.7</v>
      </c>
      <c r="J3033" s="5" t="n">
        <v>311.8</v>
      </c>
      <c r="K3033" s="3" t="inlineStr">
        <is>
          <t>nan</t>
        </is>
      </c>
      <c r="L3033" s="6">
        <f>HYPERLINK("https://fin.land.naver.com/articles/2651553883", "매물Link")</f>
        <v/>
      </c>
      <c r="M3033" s="6">
        <f>HYPERLINK("https://map.naver.com/p/search/조치원읍 죽림리 333-3", "지도Link")</f>
        <v/>
      </c>
      <c r="N3033" s="6">
        <f>HYPERLINK("http://www.eum.go.kr/web/ar/lu/luLandDet.jsp?pnu=3611025030103330003&amp;isNoScr=script&amp;mode=search", "토지이음")</f>
        <v/>
      </c>
      <c r="O3033" s="3" t="inlineStr">
        <is>
          <t>태원</t>
        </is>
      </c>
      <c r="P3033" s="4" t="n">
        <v>1</v>
      </c>
      <c r="Q3033" s="4" t="n">
        <v>945</v>
      </c>
      <c r="R3033" s="3" t="inlineStr">
        <is>
          <t>지정되지않음</t>
        </is>
      </c>
      <c r="S3033" s="3" t="inlineStr">
        <is>
          <t>주상용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광대소각</t>
        </is>
      </c>
    </row>
    <row r="3034">
      <c r="A3034" s="3" t="inlineStr">
        <is>
          <t>조치원읍 죽림리 342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110000</v>
      </c>
      <c r="G3034" s="4" t="n">
        <v>587</v>
      </c>
      <c r="H3034" s="4" t="n">
        <v>178</v>
      </c>
      <c r="I3034" s="5" t="n">
        <v>618</v>
      </c>
      <c r="J3034" s="5" t="n">
        <v>190.2</v>
      </c>
      <c r="K3034" s="3" t="inlineStr">
        <is>
          <t>세종북부경찰서와 파밀리에아파트, 그리고 원룸이 인접해 있음</t>
        </is>
      </c>
      <c r="L3034" s="6">
        <f>HYPERLINK("https://fin.land.naver.com/articles/2652786093", "매물Link")</f>
        <v/>
      </c>
      <c r="M3034" s="6">
        <f>HYPERLINK("https://map.naver.com/p/search/조치원읍 죽림리 342", "지도Link")</f>
        <v/>
      </c>
      <c r="N3034" s="6">
        <f>HYPERLINK("http://www.eum.go.kr/web/ar/lu/luLandDet.jsp?pnu=3611025030103420000&amp;isNoScr=script&amp;mode=search", "토지이음")</f>
        <v/>
      </c>
      <c r="O3034" s="3" t="inlineStr">
        <is>
          <t>가람</t>
        </is>
      </c>
      <c r="P3034" s="4" t="n">
        <v>1</v>
      </c>
      <c r="Q3034" s="4" t="n">
        <v>587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중로한면</t>
        </is>
      </c>
    </row>
    <row r="3035">
      <c r="A3035" s="3" t="inlineStr">
        <is>
          <t>조치원읍 침산리 111-18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11400</v>
      </c>
      <c r="G3035" s="4" t="n">
        <v>102</v>
      </c>
      <c r="H3035" s="4" t="n">
        <v>31</v>
      </c>
      <c r="I3035" s="5" t="n">
        <v>367.7</v>
      </c>
      <c r="J3035" s="5" t="n">
        <v>175.7</v>
      </c>
      <c r="K3035" s="3" t="inlineStr">
        <is>
          <t>조치원 침산리 토지 매매 102㎡ 단독필지</t>
        </is>
      </c>
      <c r="L3035" s="6">
        <f>HYPERLINK("https://fin.land.naver.com/articles/2651350442", "매물Link")</f>
        <v/>
      </c>
      <c r="M3035" s="6">
        <f>HYPERLINK("https://map.naver.com/p/search/조치원읍 침산리 111-18", "지도Link")</f>
        <v/>
      </c>
      <c r="N3035" s="6">
        <f>HYPERLINK("http://www.eum.go.kr/web/ar/lu/luLandDet.jsp?pnu=3611025028101110018&amp;isNoScr=script&amp;mode=search",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102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세로한면(가)</t>
        </is>
      </c>
    </row>
    <row r="3036">
      <c r="A3036" s="3" t="inlineStr">
        <is>
          <t>조치원읍 침산리 123-2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27000</v>
      </c>
      <c r="G3036" s="4" t="n">
        <v>238</v>
      </c>
      <c r="H3036" s="4" t="n">
        <v>72</v>
      </c>
      <c r="I3036" s="5" t="n">
        <v>375</v>
      </c>
      <c r="J3036" s="5" t="n">
        <v>177.6</v>
      </c>
      <c r="K3036" s="3" t="inlineStr">
        <is>
          <t>조치원역인접.나대지상태.상가주택부지.장기투자가치.교통편리.제2종주거지역</t>
        </is>
      </c>
      <c r="L3036" s="6">
        <f>HYPERLINK("https://fin.land.naver.com/articles/2654868027", "매물Link")</f>
        <v/>
      </c>
      <c r="M3036" s="6">
        <f>HYPERLINK("https://map.naver.com/p/search/조치원읍 침산리 123-2", "지도Link")</f>
        <v/>
      </c>
      <c r="N3036" s="6">
        <f>HYPERLINK("http://www.eum.go.kr/web/ar/lu/luLandDet.jsp?pnu=3611025028101230002&amp;isNoScr=script&amp;mode=search", "토지이음")</f>
        <v/>
      </c>
      <c r="O3036" s="3" t="inlineStr">
        <is>
          <t>돈방석</t>
        </is>
      </c>
      <c r="P3036" s="4" t="n">
        <v>1</v>
      </c>
      <c r="Q3036" s="4" t="n">
        <v>238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세로한면(가)</t>
        </is>
      </c>
    </row>
    <row r="3037">
      <c r="A3037" s="3" t="inlineStr">
        <is>
          <t>조치원읍 침산리 144-9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52000</v>
      </c>
      <c r="G3037" s="4" t="n">
        <v>129</v>
      </c>
      <c r="H3037" s="4" t="n">
        <v>39</v>
      </c>
      <c r="I3037" s="5" t="n">
        <v>1333.3</v>
      </c>
      <c r="J3037" s="5" t="n">
        <v>404.6</v>
      </c>
      <c r="K3037" s="3" t="inlineStr">
        <is>
          <t>조치원역바로뒤,2층건물 포함 일괄매매</t>
        </is>
      </c>
      <c r="L3037" s="6">
        <f>HYPERLINK("https://fin.land.naver.com/articles/2652801000", "매물Link")</f>
        <v/>
      </c>
      <c r="M3037" s="6">
        <f>HYPERLINK("https://map.naver.com/p/search/조치원읍 침산리 144-9", "지도Link")</f>
        <v/>
      </c>
      <c r="N3037" s="6">
        <f>HYPERLINK("http://www.eum.go.kr/web/ar/lu/luLandDet.jsp?pnu=3611025028101440009&amp;isNoScr=script&amp;mode=search", "토지이음")</f>
        <v/>
      </c>
      <c r="O3037" s="3" t="inlineStr">
        <is>
          <t>다옴</t>
        </is>
      </c>
      <c r="P3037" s="4" t="n">
        <v>1</v>
      </c>
      <c r="Q3037" s="4" t="n">
        <v>129</v>
      </c>
      <c r="R3037" s="3" t="inlineStr">
        <is>
          <t>지정되지않음</t>
        </is>
      </c>
      <c r="S3037" s="3" t="inlineStr">
        <is>
          <t>주상용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중로한면</t>
        </is>
      </c>
    </row>
    <row r="3038">
      <c r="A3038" s="3" t="inlineStr">
        <is>
          <t>조치원읍 침산리 167-10</t>
        </is>
      </c>
      <c r="B3038" s="3" t="inlineStr">
        <is>
          <t>제2종일반주거지역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95000</v>
      </c>
      <c r="G3038" s="4" t="n">
        <v>332</v>
      </c>
      <c r="H3038" s="4" t="n">
        <v>100</v>
      </c>
      <c r="I3038" s="5" t="n">
        <v>950</v>
      </c>
      <c r="J3038" s="5" t="n">
        <v>440.3</v>
      </c>
      <c r="K3038" s="3" t="inlineStr">
        <is>
          <t>조치원역뒤, 상가포함 좋은입지 일괄매매</t>
        </is>
      </c>
      <c r="L3038" s="6">
        <f>HYPERLINK("https://fin.land.naver.com/articles/2651077314", "매물Link")</f>
        <v/>
      </c>
      <c r="M3038" s="6">
        <f>HYPERLINK("https://map.naver.com/p/search/조치원읍 침산리 167-10", "지도Link")</f>
        <v/>
      </c>
      <c r="N3038" s="6">
        <f>HYPERLINK("http://www.eum.go.kr/web/ar/lu/luLandDet.jsp?pnu=3611025028101670010&amp;isNoScr=script&amp;mode=search", "토지이음")</f>
        <v/>
      </c>
      <c r="O3038" s="3" t="inlineStr">
        <is>
          <t>다옴</t>
        </is>
      </c>
      <c r="P3038" s="4" t="n">
        <v>1</v>
      </c>
      <c r="Q3038" s="4" t="n">
        <v>332</v>
      </c>
      <c r="R3038" s="3" t="inlineStr">
        <is>
          <t>지정되지않음</t>
        </is>
      </c>
      <c r="S3038" s="3" t="inlineStr">
        <is>
          <t>상업용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광대로한면</t>
        </is>
      </c>
    </row>
    <row r="3039">
      <c r="A3039" s="3" t="inlineStr">
        <is>
          <t>조치원읍 침산리 185-13</t>
        </is>
      </c>
      <c r="B3039" s="3" t="inlineStr">
        <is>
          <t>제2종일반주거지역</t>
        </is>
      </c>
      <c r="C3039" s="3" t="inlineStr">
        <is>
          <t>임야</t>
        </is>
      </c>
      <c r="D3039" s="3" t="inlineStr">
        <is>
          <t>임야</t>
        </is>
      </c>
      <c r="E3039" s="3" t="inlineStr">
        <is>
          <t>매매</t>
        </is>
      </c>
      <c r="F3039" s="4" t="n">
        <v>33000</v>
      </c>
      <c r="G3039" s="4" t="n">
        <v>283</v>
      </c>
      <c r="H3039" s="4" t="n">
        <v>86</v>
      </c>
      <c r="I3039" s="5" t="n">
        <v>383.7</v>
      </c>
      <c r="J3039" s="5" t="n">
        <v>136.4</v>
      </c>
      <c r="K3039" s="3" t="inlineStr">
        <is>
          <t>조치원역세권 개발 배후지.도시가스.상하수도 연결 완료</t>
        </is>
      </c>
      <c r="L3039" s="6">
        <f>HYPERLINK("https://fin.land.naver.com/articles/2651803543", "매물Link")</f>
        <v/>
      </c>
      <c r="M3039" s="6">
        <f>HYPERLINK("https://map.naver.com/p/search/조치원읍 침산리 185-13", "지도Link")</f>
        <v/>
      </c>
      <c r="N3039" s="6">
        <f>HYPERLINK("http://www.eum.go.kr/web/ar/lu/luLandDet.jsp?pnu=3611025028101850013&amp;isNoScr=script&amp;mode=search", "토지이음")</f>
        <v/>
      </c>
      <c r="O3039" s="3" t="inlineStr">
        <is>
          <t>굿모닝</t>
        </is>
      </c>
      <c r="P3039" s="4" t="n">
        <v>1</v>
      </c>
      <c r="Q3039" s="4" t="n">
        <v>283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침산리 185-19</t>
        </is>
      </c>
      <c r="B3040" s="3" t="inlineStr">
        <is>
          <t>제1종일반주거지역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80400</v>
      </c>
      <c r="G3040" s="4" t="n">
        <v>664</v>
      </c>
      <c r="H3040" s="4" t="n">
        <v>201</v>
      </c>
      <c r="I3040" s="5" t="n">
        <v>400</v>
      </c>
      <c r="J3040" s="5" t="n">
        <v>155.1</v>
      </c>
      <c r="K3040" s="3" t="inlineStr">
        <is>
          <t>침산리 위치 좋은 곳으로 커피숍이나 음식점 자리</t>
        </is>
      </c>
      <c r="L3040" s="6">
        <f>HYPERLINK("https://fin.land.naver.com/articles/2653950425", "매물Link")</f>
        <v/>
      </c>
      <c r="M3040" s="6">
        <f>HYPERLINK("https://map.naver.com/p/search/조치원읍 침산리 185-19", "지도Link")</f>
        <v/>
      </c>
      <c r="N3040" s="6">
        <f>HYPERLINK("http://www.eum.go.kr/web/ar/lu/luLandDet.jsp?pnu=3611025028101850019&amp;isNoScr=script&amp;mode=search", "토지이음")</f>
        <v/>
      </c>
      <c r="O3040" s="3" t="inlineStr">
        <is>
          <t>KB세종</t>
        </is>
      </c>
      <c r="P3040" s="4" t="n">
        <v>1</v>
      </c>
      <c r="Q3040" s="4" t="n">
        <v>580</v>
      </c>
      <c r="R3040" s="3" t="inlineStr">
        <is>
          <t>지정되지않음</t>
        </is>
      </c>
      <c r="S3040" s="3" t="inlineStr">
        <is>
          <t>전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세로한면(가)</t>
        </is>
      </c>
    </row>
    <row r="3041">
      <c r="A3041" s="3" t="inlineStr">
        <is>
          <t>조치원읍 침산리 203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193000</v>
      </c>
      <c r="G3041" s="4" t="n">
        <v>2362</v>
      </c>
      <c r="H3041" s="4" t="n">
        <v>715</v>
      </c>
      <c r="I3041" s="5" t="n">
        <v>269.9</v>
      </c>
      <c r="J3041" s="5" t="n">
        <v>187</v>
      </c>
      <c r="K3041" s="3" t="inlineStr">
        <is>
          <t>1번국도 인근토지로 지대가 높고 다양한 용도로 활용가능. 가격조율 가능.</t>
        </is>
      </c>
      <c r="L3041" s="6">
        <f>HYPERLINK("https://fin.land.naver.com/articles/2653505780", "매물Link")</f>
        <v/>
      </c>
      <c r="M3041" s="6">
        <f>HYPERLINK("https://map.naver.com/p/search/조치원읍 침산리 203", "지도Link")</f>
        <v/>
      </c>
      <c r="N3041" s="6">
        <f>HYPERLINK("http://www.eum.go.kr/web/ar/lu/luLandDet.jsp?pnu=3611025028102030000&amp;isNoScr=script&amp;mode=search", "토지이음")</f>
        <v/>
      </c>
      <c r="O3041" s="3" t="inlineStr">
        <is>
          <t>세종대장</t>
        </is>
      </c>
      <c r="P3041" s="4" t="n">
        <v>1</v>
      </c>
      <c r="Q3041" s="4" t="n">
        <v>2362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광대로한면</t>
        </is>
      </c>
    </row>
    <row r="3042">
      <c r="A3042" s="3" t="inlineStr">
        <is>
          <t>조치원읍 침산리 216-2</t>
        </is>
      </c>
      <c r="B3042" s="3" t="inlineStr">
        <is>
          <t>제1종일반주거지역</t>
        </is>
      </c>
      <c r="C3042" s="3" t="inlineStr">
        <is>
          <t>잡종지</t>
        </is>
      </c>
      <c r="D3042" s="3" t="inlineStr">
        <is>
          <t>잡종지</t>
        </is>
      </c>
      <c r="E3042" s="3" t="inlineStr">
        <is>
          <t>매매</t>
        </is>
      </c>
      <c r="F3042" s="4" t="n">
        <v>250000</v>
      </c>
      <c r="G3042" s="4" t="n">
        <v>1422</v>
      </c>
      <c r="H3042" s="4" t="n">
        <v>430</v>
      </c>
      <c r="I3042" s="5" t="n">
        <v>581.4</v>
      </c>
      <c r="J3042" s="5" t="n">
        <v>412.6</v>
      </c>
      <c r="K3042" s="3" t="inlineStr">
        <is>
          <t>nan</t>
        </is>
      </c>
      <c r="L3042" s="6">
        <f>HYPERLINK("https://fin.land.naver.com/articles/2655366672", "매물Link")</f>
        <v/>
      </c>
      <c r="M3042" s="6">
        <f>HYPERLINK("https://map.naver.com/p/search/조치원읍 침산리 216-2", "지도Link")</f>
        <v/>
      </c>
      <c r="N3042" s="6">
        <f>HYPERLINK("http://www.eum.go.kr/web/ar/lu/luLandDet.jsp?pnu=3611025028102160002&amp;isNoScr=script&amp;mode=search", "토지이음")</f>
        <v/>
      </c>
      <c r="O3042" s="3" t="inlineStr">
        <is>
          <t>세종문화길</t>
        </is>
      </c>
      <c r="P3042" s="4" t="n">
        <v>1</v>
      </c>
      <c r="Q3042" s="4" t="n">
        <v>1422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중로한면</t>
        </is>
      </c>
    </row>
    <row r="3043">
      <c r="A3043" s="3" t="inlineStr">
        <is>
          <t>조치원읍 침산리 219-3</t>
        </is>
      </c>
      <c r="B3043" s="3" t="inlineStr">
        <is>
          <t>제1종일반주거지역</t>
        </is>
      </c>
      <c r="C3043" s="3" t="inlineStr">
        <is>
          <t>전</t>
        </is>
      </c>
      <c r="D3043" s="3" t="inlineStr">
        <is>
          <t>전</t>
        </is>
      </c>
      <c r="E3043" s="3" t="inlineStr">
        <is>
          <t>매매</t>
        </is>
      </c>
      <c r="F3043" s="4" t="n">
        <v>268000</v>
      </c>
      <c r="G3043" s="4" t="n">
        <v>1971</v>
      </c>
      <c r="H3043" s="4" t="n">
        <v>596</v>
      </c>
      <c r="I3043" s="5" t="n">
        <v>449.7</v>
      </c>
      <c r="J3043" s="5" t="n">
        <v>183.4</v>
      </c>
      <c r="K3043" s="3" t="inlineStr">
        <is>
          <t>도도리파크, 문화예술회관 맞은편 토지</t>
        </is>
      </c>
      <c r="L3043" s="6">
        <f>HYPERLINK("https://fin.land.naver.com/articles/2654897799", "매물Link")</f>
        <v/>
      </c>
      <c r="M3043" s="6">
        <f>HYPERLINK("https://map.naver.com/p/search/조치원읍 침산리 219-3", "지도Link")</f>
        <v/>
      </c>
      <c r="N3043" s="6">
        <f>HYPERLINK("http://www.eum.go.kr/web/ar/lu/luLandDet.jsp?pnu=3611025028102190003&amp;isNoScr=script&amp;mode=search", "토지이음")</f>
        <v/>
      </c>
      <c r="O3043" s="3" t="inlineStr">
        <is>
          <t>KB세종</t>
        </is>
      </c>
      <c r="P3043" s="4" t="n">
        <v>1</v>
      </c>
      <c r="Q3043" s="4" t="n">
        <v>1887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중로한면</t>
        </is>
      </c>
    </row>
    <row r="3044">
      <c r="A3044" s="3" t="inlineStr">
        <is>
          <t>조치원읍 침산리 219-3</t>
        </is>
      </c>
      <c r="B3044" s="3" t="inlineStr">
        <is>
          <t>제1종일반주거지역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268000</v>
      </c>
      <c r="G3044" s="4" t="n">
        <v>1971</v>
      </c>
      <c r="H3044" s="4" t="n">
        <v>596</v>
      </c>
      <c r="I3044" s="5" t="n">
        <v>449.7</v>
      </c>
      <c r="J3044" s="5" t="n">
        <v>183.4</v>
      </c>
      <c r="K3044" s="3" t="inlineStr">
        <is>
          <t>제1종일반주거지역, 코너토지,조치원하이마트,예술회관,조치원복컴등 인근위치</t>
        </is>
      </c>
      <c r="L3044" s="6">
        <f>HYPERLINK("https://fin.land.naver.com/articles/2656434499", "매물Link")</f>
        <v/>
      </c>
      <c r="M3044" s="6">
        <f>HYPERLINK("https://map.naver.com/p/search/조치원읍 침산리 219-3", "지도Link")</f>
        <v/>
      </c>
      <c r="N3044" s="6">
        <f>HYPERLINK("http://www.eum.go.kr/web/ar/lu/luLandDet.jsp?pnu=3611025028102190003&amp;isNoScr=script&amp;mode=search", "토지이음")</f>
        <v/>
      </c>
      <c r="O3044" s="3" t="inlineStr">
        <is>
          <t>세종일조</t>
        </is>
      </c>
      <c r="P3044" s="4" t="n">
        <v>1</v>
      </c>
      <c r="Q3044" s="4" t="n">
        <v>1887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중로한면</t>
        </is>
      </c>
    </row>
    <row r="3045">
      <c r="A3045" s="3" t="inlineStr">
        <is>
          <t>조치원읍 침산리 219-7</t>
        </is>
      </c>
      <c r="B3045" s="3" t="inlineStr">
        <is>
          <t>제1종일반주거지역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136000</v>
      </c>
      <c r="G3045" s="4" t="n">
        <v>566</v>
      </c>
      <c r="H3045" s="4" t="n">
        <v>171</v>
      </c>
      <c r="I3045" s="5" t="n">
        <v>795.3</v>
      </c>
      <c r="J3045" s="5" t="n">
        <v>272.3</v>
      </c>
      <c r="K3045" s="3" t="inlineStr">
        <is>
          <t>침산리 대로변 넓고반듯한 토지 매매,다양활용</t>
        </is>
      </c>
      <c r="L3045" s="6">
        <f>HYPERLINK("https://fin.land.naver.com/articles/2652805884", "매물Link")</f>
        <v/>
      </c>
      <c r="M3045" s="6">
        <f>HYPERLINK("https://map.naver.com/p/search/조치원읍 침산리 219-7", "지도Link")</f>
        <v/>
      </c>
      <c r="N3045" s="6">
        <f>HYPERLINK("http://www.eum.go.kr/web/ar/lu/luLandDet.jsp?pnu=3611025028102190007&amp;isNoScr=script&amp;mode=search",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566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중로각지</t>
        </is>
      </c>
    </row>
    <row r="3046">
      <c r="A3046" s="3" t="inlineStr">
        <is>
          <t>조치원읍 침산리 255-7</t>
        </is>
      </c>
      <c r="B3046" s="3" t="inlineStr">
        <is>
          <t>제2종일반주거지역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40000</v>
      </c>
      <c r="G3046" s="4" t="n">
        <v>251</v>
      </c>
      <c r="H3046" s="4" t="n">
        <v>76</v>
      </c>
      <c r="I3046" s="5" t="n">
        <v>526.3</v>
      </c>
      <c r="J3046" s="5" t="n">
        <v>289.8</v>
      </c>
      <c r="K3046" s="3" t="inlineStr">
        <is>
          <t>침산리 건축가능한 대지매물</t>
        </is>
      </c>
      <c r="L3046" s="6">
        <f>HYPERLINK("https://fin.land.naver.com/articles/2650857783", "매물Link")</f>
        <v/>
      </c>
      <c r="M3046" s="6">
        <f>HYPERLINK("https://map.naver.com/p/search/조치원읍 침산리 255-7", "지도Link")</f>
        <v/>
      </c>
      <c r="N3046" s="6">
        <f>HYPERLINK("http://www.eum.go.kr/web/ar/lu/luLandDet.jsp?pnu=3611025028102550007&amp;isNoScr=script&amp;mode=search", "토지이음")</f>
        <v/>
      </c>
      <c r="O3046" s="3" t="inlineStr">
        <is>
          <t>상희</t>
        </is>
      </c>
      <c r="P3046" s="4" t="n">
        <v>1</v>
      </c>
      <c r="Q3046" s="4" t="n">
        <v>251.7</v>
      </c>
      <c r="R3046" s="3" t="inlineStr">
        <is>
          <t>지정되지않음</t>
        </is>
      </c>
      <c r="S3046" s="3" t="inlineStr">
        <is>
          <t>주거기타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세로한면(가)</t>
        </is>
      </c>
    </row>
    <row r="3047">
      <c r="A3047" s="3" t="inlineStr">
        <is>
          <t>조치원읍 침산리 262-2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55000</v>
      </c>
      <c r="G3047" s="4" t="n">
        <v>160</v>
      </c>
      <c r="H3047" s="4" t="n">
        <v>48</v>
      </c>
      <c r="I3047" s="5" t="n">
        <v>1145.8</v>
      </c>
      <c r="J3047" s="5" t="n">
        <v>376.9</v>
      </c>
      <c r="K3047" s="3" t="inlineStr">
        <is>
          <t>음식점으로 성업중인 토지와 상가 건물을 일괄하여 매매합니다.</t>
        </is>
      </c>
      <c r="L3047" s="6">
        <f>HYPERLINK("https://fin.land.naver.com/articles/2652461844", "매물Link")</f>
        <v/>
      </c>
      <c r="M3047" s="6">
        <f>HYPERLINK("https://map.naver.com/p/search/조치원읍 침산리 262-2", "지도Link")</f>
        <v/>
      </c>
      <c r="N3047" s="6">
        <f>HYPERLINK("http://www.eum.go.kr/web/ar/lu/luLandDet.jsp?pnu=3611025028102620002&amp;isNoScr=script&amp;mode=search", "토지이음")</f>
        <v/>
      </c>
      <c r="O3047" s="3" t="inlineStr">
        <is>
          <t>스마일세종</t>
        </is>
      </c>
      <c r="P3047" s="4" t="n">
        <v>1</v>
      </c>
      <c r="Q3047" s="4" t="n">
        <v>160.5</v>
      </c>
      <c r="R3047" s="3" t="inlineStr">
        <is>
          <t>지정되지않음</t>
        </is>
      </c>
      <c r="S3047" s="3" t="inlineStr">
        <is>
          <t>주상기타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세로한면(가)</t>
        </is>
      </c>
    </row>
    <row r="3048">
      <c r="A3048" s="3" t="inlineStr">
        <is>
          <t>조치원읍 침산리 270-6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100000</v>
      </c>
      <c r="G3048" s="4" t="n">
        <v>345</v>
      </c>
      <c r="H3048" s="4" t="n">
        <v>104</v>
      </c>
      <c r="I3048" s="5" t="n">
        <v>961.5</v>
      </c>
      <c r="J3048" s="5" t="n">
        <v>570.2</v>
      </c>
      <c r="K3048" s="3" t="inlineStr">
        <is>
          <t>침산먹자중심,대로변 접한 반듯한 알짜토지</t>
        </is>
      </c>
      <c r="L3048" s="6">
        <f>HYPERLINK("https://fin.land.naver.com/articles/2653941730", "매물Link")</f>
        <v/>
      </c>
      <c r="M3048" s="6">
        <f>HYPERLINK("https://map.naver.com/p/search/조치원읍 침산리 270-6", "지도Link")</f>
        <v/>
      </c>
      <c r="N3048" s="6">
        <f>HYPERLINK("http://www.eum.go.kr/web/ar/lu/luLandDet.jsp?pnu=3611025028102700006&amp;isNoScr=script&amp;mode=search", "토지이음")</f>
        <v/>
      </c>
      <c r="O3048" s="3" t="inlineStr">
        <is>
          <t>다옴</t>
        </is>
      </c>
      <c r="P3048" s="4" t="n">
        <v>1</v>
      </c>
      <c r="Q3048" s="4" t="n">
        <v>345.3</v>
      </c>
      <c r="R3048" s="3" t="inlineStr">
        <is>
          <t>지정되지않음</t>
        </is>
      </c>
      <c r="S3048" s="3" t="inlineStr">
        <is>
          <t>상업용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중로한면</t>
        </is>
      </c>
    </row>
    <row r="3049">
      <c r="A3049" s="3" t="inlineStr">
        <is>
          <t>조치원읍 침산리 272-9</t>
        </is>
      </c>
      <c r="B3049" s="3" t="inlineStr">
        <is>
          <t>제2종일반주거지역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40000</v>
      </c>
      <c r="G3049" s="4" t="n">
        <v>187</v>
      </c>
      <c r="H3049" s="4" t="n">
        <v>57</v>
      </c>
      <c r="I3049" s="5" t="n">
        <v>701.8</v>
      </c>
      <c r="J3049" s="5" t="n">
        <v>323.2</v>
      </c>
      <c r="K3049" s="3" t="inlineStr">
        <is>
          <t>nan</t>
        </is>
      </c>
      <c r="L3049" s="6">
        <f>HYPERLINK("https://fin.land.naver.com/articles/2653948599", "매물Link")</f>
        <v/>
      </c>
      <c r="M3049" s="6">
        <f>HYPERLINK("https://map.naver.com/p/search/조치원읍 침산리 272-9", "지도Link")</f>
        <v/>
      </c>
      <c r="N3049" s="6">
        <f>HYPERLINK("http://www.eum.go.kr/web/ar/lu/luLandDet.jsp?pnu=3611025028102720009&amp;isNoScr=script&amp;mode=search", "토지이음")</f>
        <v/>
      </c>
      <c r="O3049" s="3" t="inlineStr">
        <is>
          <t>KB세종</t>
        </is>
      </c>
      <c r="P3049" s="4" t="n">
        <v>1</v>
      </c>
      <c r="Q3049" s="4" t="n">
        <v>187.5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조치원읍 침산리 278-1</t>
        </is>
      </c>
      <c r="B3050" s="3" t="inlineStr">
        <is>
          <t>제2종일반주거지역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100000</v>
      </c>
      <c r="G3050" s="4" t="n">
        <v>281</v>
      </c>
      <c r="H3050" s="4" t="n">
        <v>85</v>
      </c>
      <c r="I3050" s="5" t="n">
        <v>1176.5</v>
      </c>
      <c r="J3050" s="5" t="n">
        <v>363.6</v>
      </c>
      <c r="K3050" s="3" t="inlineStr">
        <is>
          <t>침산리 대로접한 귀한토지</t>
        </is>
      </c>
      <c r="L3050" s="6">
        <f>HYPERLINK("https://fin.land.naver.com/articles/2655699832", "매물Link")</f>
        <v/>
      </c>
      <c r="M3050" s="6">
        <f>HYPERLINK("https://map.naver.com/p/search/조치원읍 침산리 278-1", "지도Link")</f>
        <v/>
      </c>
      <c r="N3050" s="6">
        <f>HYPERLINK("http://www.eum.go.kr/web/ar/lu/luLandDet.jsp?pnu=3611025028102780001&amp;isNoScr=script&amp;mode=search", "토지이음")</f>
        <v/>
      </c>
      <c r="O3050" s="3" t="inlineStr">
        <is>
          <t>동백</t>
        </is>
      </c>
      <c r="P3050" s="4" t="n">
        <v>1</v>
      </c>
      <c r="Q3050" s="4" t="n">
        <v>281.3</v>
      </c>
      <c r="R3050" s="3" t="inlineStr">
        <is>
          <t>지정되지않음</t>
        </is>
      </c>
      <c r="S3050" s="3" t="inlineStr">
        <is>
          <t>상업용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조치원읍 침산리 283-8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265</v>
      </c>
      <c r="H3051" s="4" t="n">
        <v>80</v>
      </c>
      <c r="I3051" s="5" t="n">
        <v>687.5</v>
      </c>
      <c r="J3051" s="5" t="n">
        <v>441.7</v>
      </c>
      <c r="K3051" s="3" t="inlineStr">
        <is>
          <t>코너 대지 매매</t>
        </is>
      </c>
      <c r="L3051" s="6">
        <f>HYPERLINK("https://fin.land.naver.com/articles/2651765054", "매물Link")</f>
        <v/>
      </c>
      <c r="M3051" s="6">
        <f>HYPERLINK("https://map.naver.com/p/search/조치원읍 침산리 283-8", "지도Link")</f>
        <v/>
      </c>
      <c r="N3051" s="6">
        <f>HYPERLINK("http://www.eum.go.kr/web/ar/lu/luLandDet.jsp?pnu=3611025028102830008&amp;isNoScr=script&amp;mode=search", "토지이음")</f>
        <v/>
      </c>
      <c r="O3051" s="3" t="inlineStr">
        <is>
          <t>찬스</t>
        </is>
      </c>
      <c r="P3051" s="4" t="n">
        <v>1</v>
      </c>
      <c r="Q3051" s="4" t="n">
        <v>265.6</v>
      </c>
      <c r="R3051" s="3" t="inlineStr">
        <is>
          <t>지정되지않음</t>
        </is>
      </c>
      <c r="S3051" s="3" t="inlineStr">
        <is>
          <t>주상기타</t>
        </is>
      </c>
      <c r="T3051" s="3" t="inlineStr">
        <is>
          <t>평지</t>
        </is>
      </c>
      <c r="U3051" s="3" t="inlineStr">
        <is>
          <t>세로장방</t>
        </is>
      </c>
      <c r="V3051" s="3" t="inlineStr">
        <is>
          <t>소로각지</t>
        </is>
      </c>
    </row>
    <row r="3052">
      <c r="A3052" s="3" t="inlineStr">
        <is>
          <t>조치원읍 침산리 284-9</t>
        </is>
      </c>
      <c r="B3052" s="3" t="inlineStr">
        <is>
          <t>제2종일반주거지역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238</v>
      </c>
      <c r="H3052" s="4" t="n">
        <v>72</v>
      </c>
      <c r="I3052" s="5" t="n">
        <v>833.3</v>
      </c>
      <c r="J3052" s="5" t="n">
        <v>283.1</v>
      </c>
      <c r="K3052" s="3" t="inlineStr">
        <is>
          <t>스타벅스가 선택한 그 입지, 세종 조치원 침산리 금쪽같은 토지 매매</t>
        </is>
      </c>
      <c r="L3052" s="6">
        <f>HYPERLINK("https://fin.land.naver.com/articles/2654652330", "매물Link")</f>
        <v/>
      </c>
      <c r="M3052" s="6">
        <f>HYPERLINK("https://map.naver.com/p/search/조치원읍 침산리 284-9", "지도Link")</f>
        <v/>
      </c>
      <c r="N3052" s="6">
        <f>HYPERLINK("http://www.eum.go.kr/web/ar/lu/luLandDet.jsp?pnu=3611025028102840009&amp;isNoScr=script&amp;mode=search",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238.8</v>
      </c>
      <c r="R3052" s="3" t="inlineStr">
        <is>
          <t>지정되지않음</t>
        </is>
      </c>
      <c r="S3052" s="3" t="inlineStr">
        <is>
          <t>주거기타</t>
        </is>
      </c>
      <c r="T3052" s="3" t="inlineStr">
        <is>
          <t>평지</t>
        </is>
      </c>
      <c r="U3052" s="3" t="inlineStr">
        <is>
          <t>세로장방</t>
        </is>
      </c>
      <c r="V3052" s="3" t="inlineStr">
        <is>
          <t>세로한면(가)</t>
        </is>
      </c>
    </row>
    <row r="3053">
      <c r="A3053" s="3" t="inlineStr">
        <is>
          <t>조치원읍 침산리 285-16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38630</v>
      </c>
      <c r="G3053" s="4" t="n">
        <v>255</v>
      </c>
      <c r="H3053" s="4" t="n">
        <v>77</v>
      </c>
      <c r="I3053" s="5" t="n">
        <v>501.7</v>
      </c>
      <c r="J3053" s="5" t="n">
        <v>301.6</v>
      </c>
      <c r="K3053" s="3" t="inlineStr">
        <is>
          <t>구역정리된 지역임</t>
        </is>
      </c>
      <c r="L3053" s="6">
        <f>HYPERLINK("https://fin.land.naver.com/articles/2652215917", "매물Link")</f>
        <v/>
      </c>
      <c r="M3053" s="6">
        <f>HYPERLINK("https://map.naver.com/p/search/조치원읍 침산리 285-16", "지도Link")</f>
        <v/>
      </c>
      <c r="N3053" s="6">
        <f>HYPERLINK("http://www.eum.go.kr/web/ar/lu/luLandDet.jsp?pnu=3611025028102850016&amp;isNoScr=script&amp;mode=search", "토지이음")</f>
        <v/>
      </c>
      <c r="O3053" s="3" t="inlineStr">
        <is>
          <t>한일</t>
        </is>
      </c>
      <c r="P3053" s="4" t="n">
        <v>1</v>
      </c>
      <c r="Q3053" s="4" t="n">
        <v>255.4</v>
      </c>
      <c r="R3053" s="3" t="inlineStr">
        <is>
          <t>지정되지않음</t>
        </is>
      </c>
      <c r="S3053" s="3" t="inlineStr">
        <is>
          <t>주상기타</t>
        </is>
      </c>
      <c r="T3053" s="3" t="inlineStr">
        <is>
          <t>평지</t>
        </is>
      </c>
      <c r="U3053" s="3" t="inlineStr">
        <is>
          <t>정방형</t>
        </is>
      </c>
      <c r="V3053" s="3" t="inlineStr">
        <is>
          <t>소로한면</t>
        </is>
      </c>
    </row>
    <row r="3054">
      <c r="A3054" s="3" t="inlineStr">
        <is>
          <t>조치원읍 침산리 40</t>
        </is>
      </c>
      <c r="B3054" s="3" t="inlineStr">
        <is>
          <t>제1종일반주거지역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256000</v>
      </c>
      <c r="G3054" s="4" t="n">
        <v>2116</v>
      </c>
      <c r="H3054" s="4" t="n">
        <v>640</v>
      </c>
      <c r="I3054" s="5" t="n">
        <v>400</v>
      </c>
      <c r="J3054" s="5" t="n">
        <v>177.6</v>
      </c>
      <c r="K3054" s="3" t="inlineStr">
        <is>
          <t>침산리 토지매매</t>
        </is>
      </c>
      <c r="L3054" s="6">
        <f>HYPERLINK("https://fin.land.naver.com/articles/2654532187", "매물Link")</f>
        <v/>
      </c>
      <c r="M3054" s="6">
        <f>HYPERLINK("https://map.naver.com/p/search/조치원읍 침산리 40", "지도Link")</f>
        <v/>
      </c>
      <c r="N3054" s="6">
        <f>HYPERLINK("http://www.eum.go.kr/web/ar/lu/luLandDet.jsp?pnu=3611025028100400000&amp;isNoScr=script&amp;mode=search", "토지이음")</f>
        <v/>
      </c>
      <c r="O3054" s="3" t="inlineStr">
        <is>
          <t>김준희</t>
        </is>
      </c>
      <c r="P3054" s="4" t="n">
        <v>1</v>
      </c>
      <c r="Q3054" s="4" t="n">
        <v>1924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평리 101-2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60000</v>
      </c>
      <c r="G3055" s="4" t="n">
        <v>356</v>
      </c>
      <c r="H3055" s="4" t="n">
        <v>108</v>
      </c>
      <c r="I3055" s="5" t="n">
        <v>555.6</v>
      </c>
      <c r="J3055" s="5" t="n">
        <v>175.8</v>
      </c>
      <c r="K3055" s="3" t="inlineStr">
        <is>
          <t>남향토지,도로지분포함,조치원 시장 도보5분거리 위치,</t>
        </is>
      </c>
      <c r="L3055" s="6">
        <f>HYPERLINK("https://fin.land.naver.com/articles/2652137848", "매물Link")</f>
        <v/>
      </c>
      <c r="M3055" s="6">
        <f>HYPERLINK("https://map.naver.com/p/search/조치원읍 평리 101-2", "지도Link")</f>
        <v/>
      </c>
      <c r="N3055" s="6">
        <f>HYPERLINK("http://www.eum.go.kr/web/ar/lu/luLandDet.jsp?pnu=3611025023101010002&amp;isNoScr=script&amp;mode=search", "토지이음")</f>
        <v/>
      </c>
      <c r="O3055" s="3" t="inlineStr">
        <is>
          <t>담뜰</t>
        </is>
      </c>
      <c r="P3055" s="4" t="n">
        <v>1</v>
      </c>
      <c r="Q3055" s="4" t="n">
        <v>356</v>
      </c>
      <c r="R3055" s="3" t="inlineStr">
        <is>
          <t>지정되지않음</t>
        </is>
      </c>
      <c r="S3055" s="3" t="inlineStr">
        <is>
          <t>단독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세로한면(가)</t>
        </is>
      </c>
    </row>
    <row r="3056">
      <c r="A3056" s="3" t="inlineStr">
        <is>
          <t>조치원읍 평리 101-2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60000</v>
      </c>
      <c r="G3056" s="4" t="n">
        <v>356</v>
      </c>
      <c r="H3056" s="4" t="n">
        <v>108</v>
      </c>
      <c r="I3056" s="5" t="n">
        <v>555.6</v>
      </c>
      <c r="J3056" s="5" t="n">
        <v>175.8</v>
      </c>
      <c r="K3056" s="3" t="inlineStr">
        <is>
          <t>8미터도로연접, 다가구부지 추천매매</t>
        </is>
      </c>
      <c r="L3056" s="6">
        <f>HYPERLINK("https://fin.land.naver.com/articles/2653056560", "매물Link")</f>
        <v/>
      </c>
      <c r="M3056" s="6">
        <f>HYPERLINK("https://map.naver.com/p/search/조치원읍 평리 101-2", "지도Link")</f>
        <v/>
      </c>
      <c r="N3056" s="6">
        <f>HYPERLINK("http://www.eum.go.kr/web/ar/lu/luLandDet.jsp?pnu=3611025023101010002&amp;isNoScr=script&amp;mode=search", "토지이음")</f>
        <v/>
      </c>
      <c r="O3056" s="3" t="inlineStr">
        <is>
          <t>Home</t>
        </is>
      </c>
      <c r="P3056" s="4" t="n">
        <v>1</v>
      </c>
      <c r="Q3056" s="4" t="n">
        <v>356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집현동 1219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42000</v>
      </c>
      <c r="G3057" s="4" t="n">
        <v>318</v>
      </c>
      <c r="H3057" s="4" t="n">
        <v>96</v>
      </c>
      <c r="I3057" s="5" t="n">
        <v>437.5</v>
      </c>
      <c r="J3057" s="5" t="n">
        <v>277.7</v>
      </c>
      <c r="K3057" s="3" t="inlineStr">
        <is>
          <t>급매 집현동D1 남향택지 상가 학교가까움</t>
        </is>
      </c>
      <c r="L3057" s="6">
        <f>HYPERLINK("https://fin.land.naver.com/articles/2653175765", "매물Link")</f>
        <v/>
      </c>
      <c r="M3057" s="6">
        <f>HYPERLINK("https://map.naver.com/p/search/집현동 1219", "지도Link")</f>
        <v/>
      </c>
      <c r="N3057" s="6">
        <f>HYPERLINK("http://www.eum.go.kr/web/ar/lu/luLandDet.jsp?pnu=3611011800112190000&amp;isNoScr=script&amp;mode=search", "토지이음")</f>
        <v/>
      </c>
      <c r="O3057" s="3" t="inlineStr">
        <is>
          <t>세종스타</t>
        </is>
      </c>
      <c r="P3057" s="4" t="n">
        <v>2</v>
      </c>
      <c r="Q3057" s="4" t="n">
        <v>318.9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소로각지</t>
        </is>
      </c>
    </row>
    <row r="3058">
      <c r="A3058" s="3" t="inlineStr">
        <is>
          <t>집현동 1226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54000</v>
      </c>
      <c r="G3058" s="4" t="n">
        <v>305</v>
      </c>
      <c r="H3058" s="4" t="n">
        <v>92</v>
      </c>
      <c r="I3058" s="5" t="n">
        <v>587</v>
      </c>
      <c r="J3058" s="5" t="n">
        <v>267.1</v>
      </c>
      <c r="K3058" s="3" t="inlineStr">
        <is>
          <t>집현동 위치 좋은 단독주택 토지매매, 사거리 코너 입지</t>
        </is>
      </c>
      <c r="L3058" s="6">
        <f>HYPERLINK("https://fin.land.naver.com/articles/2654229358", "매물Link")</f>
        <v/>
      </c>
      <c r="M3058" s="6">
        <f>HYPERLINK("https://map.naver.com/p/search/집현동 1226", "지도Link")</f>
        <v/>
      </c>
      <c r="N3058" s="6">
        <f>HYPERLINK("http://www.eum.go.kr/web/ar/lu/luLandDet.jsp?pnu=3611011800112260000&amp;isNoScr=script&amp;mode=search", "토지이음")</f>
        <v/>
      </c>
      <c r="O3058" s="3" t="inlineStr">
        <is>
          <t>명진</t>
        </is>
      </c>
      <c r="P3058" s="4" t="n">
        <v>1</v>
      </c>
      <c r="Q3058" s="4" t="n">
        <v>305.3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집현동 1226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54000</v>
      </c>
      <c r="G3059" s="4" t="n">
        <v>305</v>
      </c>
      <c r="H3059" s="4" t="n">
        <v>92</v>
      </c>
      <c r="I3059" s="5" t="n">
        <v>587</v>
      </c>
      <c r="J3059" s="5" t="n">
        <v>267.1</v>
      </c>
      <c r="K3059" s="3" t="inlineStr">
        <is>
          <t>삼성천인근 남북트인위치 남쪽 보행로접함</t>
        </is>
      </c>
      <c r="L3059" s="6">
        <f>HYPERLINK("https://fin.land.naver.com/articles/2652943039", "매물Link")</f>
        <v/>
      </c>
      <c r="M3059" s="6">
        <f>HYPERLINK("https://map.naver.com/p/search/집현동 1226", "지도Link")</f>
        <v/>
      </c>
      <c r="N3059" s="6">
        <f>HYPERLINK("http://www.eum.go.kr/web/ar/lu/luLandDet.jsp?pnu=3611011800112260000&amp;isNoScr=script&amp;mode=search", "토지이음")</f>
        <v/>
      </c>
      <c r="O3059" s="3" t="inlineStr">
        <is>
          <t>세종스타</t>
        </is>
      </c>
      <c r="P3059" s="4" t="n">
        <v>2</v>
      </c>
      <c r="Q3059" s="4" t="n">
        <v>305.3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집현동 1226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54000</v>
      </c>
      <c r="G3060" s="4" t="n">
        <v>305</v>
      </c>
      <c r="H3060" s="4" t="n">
        <v>92</v>
      </c>
      <c r="I3060" s="5" t="n">
        <v>587</v>
      </c>
      <c r="J3060" s="5" t="n">
        <v>267.1</v>
      </c>
      <c r="K3060" s="3" t="inlineStr">
        <is>
          <t>집현동 위치 좋은 단독주택, 사거리 코너 입지</t>
        </is>
      </c>
      <c r="L3060" s="6">
        <f>HYPERLINK("https://fin.land.naver.com/articles/2652843192", "매물Link")</f>
        <v/>
      </c>
      <c r="M3060" s="6">
        <f>HYPERLINK("https://map.naver.com/p/search/집현동 1226", "지도Link")</f>
        <v/>
      </c>
      <c r="N3060" s="6">
        <f>HYPERLINK("http://www.eum.go.kr/web/ar/lu/luLandDet.jsp?pnu=3611011800112260000&amp;isNoScr=script&amp;mode=search", "토지이음")</f>
        <v/>
      </c>
      <c r="O3060" s="3" t="inlineStr">
        <is>
          <t>세종무지개</t>
        </is>
      </c>
      <c r="P3060" s="4" t="n">
        <v>1</v>
      </c>
      <c r="Q3060" s="4" t="n">
        <v>305.3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세로장방</t>
        </is>
      </c>
      <c r="V3060" s="3" t="inlineStr">
        <is>
          <t>소로한면</t>
        </is>
      </c>
    </row>
    <row r="3061">
      <c r="A3061" s="3" t="inlineStr">
        <is>
          <t>집현동 1240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40800</v>
      </c>
      <c r="G3061" s="4" t="n">
        <v>273</v>
      </c>
      <c r="H3061" s="4" t="n">
        <v>83</v>
      </c>
      <c r="I3061" s="5" t="n">
        <v>491.6</v>
      </c>
      <c r="J3061" s="5" t="n">
        <v>264.5</v>
      </c>
      <c r="K3061" s="3" t="inlineStr">
        <is>
          <t>nan</t>
        </is>
      </c>
      <c r="L3061" s="6">
        <f>HYPERLINK("https://fin.land.naver.com/articles/2654263055", "매물Link")</f>
        <v/>
      </c>
      <c r="M3061" s="6">
        <f>HYPERLINK("https://map.naver.com/p/search/집현동 1240", "지도Link")</f>
        <v/>
      </c>
      <c r="N3061" s="6">
        <f>HYPERLINK("http://www.eum.go.kr/web/ar/lu/luLandDet.jsp?pnu=3611011800112400000&amp;isNoScr=script&amp;mode=search", "토지이음")</f>
        <v/>
      </c>
      <c r="O3061" s="3" t="inlineStr">
        <is>
          <t>우리들</t>
        </is>
      </c>
      <c r="P3061" s="4" t="n">
        <v>1</v>
      </c>
      <c r="Q3061" s="4" t="n">
        <v>273.9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세로장방</t>
        </is>
      </c>
      <c r="V3061" s="3" t="inlineStr">
        <is>
          <t>소로한면</t>
        </is>
      </c>
    </row>
    <row r="3062">
      <c r="A3062" s="3" t="inlineStr">
        <is>
          <t>집현동 1244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323</v>
      </c>
      <c r="H3062" s="4" t="n">
        <v>98</v>
      </c>
      <c r="I3062" s="5" t="n">
        <v>612.2</v>
      </c>
      <c r="J3062" s="5" t="n">
        <v>275</v>
      </c>
      <c r="K3062" s="3" t="inlineStr">
        <is>
          <t>코너각지 위치한 토지매매, 공원과 삼성천 뷰 가능</t>
        </is>
      </c>
      <c r="L3062" s="6">
        <f>HYPERLINK("https://fin.land.naver.com/articles/2655487522", "매물Link")</f>
        <v/>
      </c>
      <c r="M3062" s="6">
        <f>HYPERLINK("https://map.naver.com/p/search/집현동 1244", "지도Link")</f>
        <v/>
      </c>
      <c r="N3062" s="6">
        <f>HYPERLINK("http://www.eum.go.kr/web/ar/lu/luLandDet.jsp?pnu=3611011800112440000&amp;isNoScr=script&amp;mode=search", "토지이음")</f>
        <v/>
      </c>
      <c r="O3062" s="3" t="inlineStr">
        <is>
          <t>세종무지개</t>
        </is>
      </c>
      <c r="P3062" s="4" t="n">
        <v>1</v>
      </c>
      <c r="Q3062" s="4" t="n">
        <v>323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가로장방</t>
        </is>
      </c>
      <c r="V3062" s="3" t="inlineStr">
        <is>
          <t>소로각지</t>
        </is>
      </c>
    </row>
    <row r="3063">
      <c r="A3063" s="3" t="inlineStr">
        <is>
          <t>집현동 1244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323</v>
      </c>
      <c r="H3063" s="4" t="n">
        <v>98</v>
      </c>
      <c r="I3063" s="5" t="n">
        <v>612.2</v>
      </c>
      <c r="J3063" s="5" t="n">
        <v>275</v>
      </c>
      <c r="K3063" s="3" t="inlineStr">
        <is>
          <t>최고위치 코너각지 공원뷰 삼성천뷰</t>
        </is>
      </c>
      <c r="L3063" s="6">
        <f>HYPERLINK("https://fin.land.naver.com/articles/2655194330", "매물Link")</f>
        <v/>
      </c>
      <c r="M3063" s="6">
        <f>HYPERLINK("https://map.naver.com/p/search/집현동 1244", "지도Link")</f>
        <v/>
      </c>
      <c r="N3063" s="6">
        <f>HYPERLINK("http://www.eum.go.kr/web/ar/lu/luLandDet.jsp?pnu=3611011800112440000&amp;isNoScr=script&amp;mode=search", "토지이음")</f>
        <v/>
      </c>
      <c r="O3063" s="3" t="inlineStr">
        <is>
          <t>세종스타</t>
        </is>
      </c>
      <c r="P3063" s="4" t="n">
        <v>2</v>
      </c>
      <c r="Q3063" s="4" t="n">
        <v>323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가로장방</t>
        </is>
      </c>
      <c r="V3063" s="3" t="inlineStr">
        <is>
          <t>소로각지</t>
        </is>
      </c>
    </row>
    <row r="3064">
      <c r="A3064" s="3" t="inlineStr">
        <is>
          <t>집현동 1255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42000</v>
      </c>
      <c r="G3064" s="4" t="n">
        <v>277</v>
      </c>
      <c r="H3064" s="4" t="n">
        <v>84</v>
      </c>
      <c r="I3064" s="5" t="n">
        <v>500</v>
      </c>
      <c r="J3064" s="5" t="n">
        <v>275</v>
      </c>
      <c r="K3064" s="3" t="inlineStr">
        <is>
          <t>추천. 집현동 코너 택지</t>
        </is>
      </c>
      <c r="L3064" s="6">
        <f>HYPERLINK("https://fin.land.naver.com/articles/2651894833", "매물Link")</f>
        <v/>
      </c>
      <c r="M3064" s="6">
        <f>HYPERLINK("https://map.naver.com/p/search/집현동 1255", "지도Link")</f>
        <v/>
      </c>
      <c r="N3064" s="6">
        <f>HYPERLINK("http://www.eum.go.kr/web/ar/lu/luLandDet.jsp?pnu=3611011800112550000&amp;isNoScr=script&amp;mode=search", "토지이음")</f>
        <v/>
      </c>
      <c r="O3064" s="3" t="inlineStr">
        <is>
          <t>강아지풀</t>
        </is>
      </c>
      <c r="P3064" s="4" t="n">
        <v>1</v>
      </c>
      <c r="Q3064" s="4" t="n">
        <v>277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가로장방</t>
        </is>
      </c>
      <c r="V3064" s="3" t="inlineStr">
        <is>
          <t>소로각지</t>
        </is>
      </c>
    </row>
    <row r="3065">
      <c r="A3065" s="3" t="inlineStr">
        <is>
          <t>집현동 1281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160000</v>
      </c>
      <c r="G3065" s="4" t="n">
        <v>521</v>
      </c>
      <c r="H3065" s="4" t="n">
        <v>158</v>
      </c>
      <c r="I3065" s="5" t="n">
        <v>1012.7</v>
      </c>
      <c r="J3065" s="5" t="n">
        <v>320.7</v>
      </c>
      <c r="K3065" s="3" t="inlineStr">
        <is>
          <t>급매 집현동 횡단보도앞 위치좋은 근생부지</t>
        </is>
      </c>
      <c r="L3065" s="6">
        <f>HYPERLINK("https://fin.land.naver.com/articles/2653666306", "매물Link")</f>
        <v/>
      </c>
      <c r="M3065" s="6">
        <f>HYPERLINK("https://map.naver.com/p/search/집현동 1281", "지도Link")</f>
        <v/>
      </c>
      <c r="N3065" s="6">
        <f>HYPERLINK("http://www.eum.go.kr/web/ar/lu/luLandDet.jsp?pnu=3611011800112810000&amp;isNoScr=script&amp;mode=search", "토지이음")</f>
        <v/>
      </c>
      <c r="O3065" s="3" t="inlineStr">
        <is>
          <t>세종스타</t>
        </is>
      </c>
      <c r="P3065" s="4" t="n">
        <v>1</v>
      </c>
      <c r="Q3065" s="4" t="n">
        <v>520.5</v>
      </c>
      <c r="R3065" s="3" t="inlineStr">
        <is>
          <t>지정되지않음</t>
        </is>
      </c>
      <c r="S3065" s="3" t="inlineStr">
        <is>
          <t>상업나지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광대소각</t>
        </is>
      </c>
    </row>
    <row r="3066">
      <c r="A3066" s="3" t="inlineStr">
        <is>
          <t>집현동 1303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45000</v>
      </c>
      <c r="G3066" s="4" t="n">
        <v>308</v>
      </c>
      <c r="H3066" s="4" t="n">
        <v>93</v>
      </c>
      <c r="I3066" s="5" t="n">
        <v>483.9</v>
      </c>
      <c r="J3066" s="5" t="n">
        <v>268.2</v>
      </c>
      <c r="K3066" s="3" t="inlineStr">
        <is>
          <t>D2 남향 보행로접 조율가능</t>
        </is>
      </c>
      <c r="L3066" s="6">
        <f>HYPERLINK("https://fin.land.naver.com/articles/2656214079", "매물Link")</f>
        <v/>
      </c>
      <c r="M3066" s="6">
        <f>HYPERLINK("https://map.naver.com/p/search/집현동 1303", "지도Link")</f>
        <v/>
      </c>
      <c r="N3066" s="6">
        <f>HYPERLINK("http://www.eum.go.kr/web/ar/lu/luLandDet.jsp?pnu=3611011800113030000&amp;isNoScr=script&amp;mode=search",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308.7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집현동 1304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47000</v>
      </c>
      <c r="G3067" s="4" t="n">
        <v>309</v>
      </c>
      <c r="H3067" s="4" t="n">
        <v>93</v>
      </c>
      <c r="I3067" s="5" t="n">
        <v>505.4</v>
      </c>
      <c r="J3067" s="5" t="n">
        <v>268.2</v>
      </c>
      <c r="K3067" s="3" t="inlineStr">
        <is>
          <t>명성공인, 전용93, 집현동 택지 추천 매물</t>
        </is>
      </c>
      <c r="L3067" s="6">
        <f>HYPERLINK("https://fin.land.naver.com/articles/2653841370", "매물Link")</f>
        <v/>
      </c>
      <c r="M3067" s="6">
        <f>HYPERLINK("https://map.naver.com/p/search/집현동 1304", "지도Link")</f>
        <v/>
      </c>
      <c r="N3067" s="6">
        <f>HYPERLINK("http://www.eum.go.kr/web/ar/lu/luLandDet.jsp?pnu=3611011800113040000&amp;isNoScr=script&amp;mode=search", "토지이음")</f>
        <v/>
      </c>
      <c r="O3067" s="3" t="inlineStr">
        <is>
          <t>명성</t>
        </is>
      </c>
      <c r="P3067" s="4" t="n">
        <v>1</v>
      </c>
      <c r="Q3067" s="4" t="n">
        <v>308.7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집현동 1307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61000</v>
      </c>
      <c r="G3068" s="4" t="n">
        <v>300</v>
      </c>
      <c r="H3068" s="4" t="n">
        <v>91</v>
      </c>
      <c r="I3068" s="5" t="n">
        <v>670.3</v>
      </c>
      <c r="J3068" s="5" t="n">
        <v>278.9</v>
      </c>
      <c r="K3068" s="3" t="inlineStr">
        <is>
          <t>남향 코너 택지｜공원 조망 삼성천 괴화산 숲세권</t>
        </is>
      </c>
      <c r="L3068" s="6">
        <f>HYPERLINK("https://fin.land.naver.com/articles/2655725259", "매물Link")</f>
        <v/>
      </c>
      <c r="M3068" s="6">
        <f>HYPERLINK("https://map.naver.com/p/search/집현동 1307", "지도Link")</f>
        <v/>
      </c>
      <c r="N3068" s="6">
        <f>HYPERLINK("http://www.eum.go.kr/web/ar/lu/luLandDet.jsp?pnu=3611011800113070000&amp;isNoScr=script&amp;mode=search", "토지이음")</f>
        <v/>
      </c>
      <c r="O3068" s="3" t="inlineStr">
        <is>
          <t>세종신한</t>
        </is>
      </c>
      <c r="P3068" s="4" t="n">
        <v>1</v>
      </c>
      <c r="Q3068" s="4" t="n">
        <v>300.7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소로각지</t>
        </is>
      </c>
    </row>
    <row r="3069">
      <c r="A3069" s="3" t="inlineStr">
        <is>
          <t>집현동 1310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37000</v>
      </c>
      <c r="G3069" s="4" t="n">
        <v>279</v>
      </c>
      <c r="H3069" s="4" t="n">
        <v>84</v>
      </c>
      <c r="I3069" s="5" t="n">
        <v>440.5</v>
      </c>
      <c r="J3069" s="5" t="n">
        <v>265.5</v>
      </c>
      <c r="K3069" s="3" t="inlineStr">
        <is>
          <t>급매 D2 남북트인위치 남향 건축가능</t>
        </is>
      </c>
      <c r="L3069" s="6">
        <f>HYPERLINK("https://fin.land.naver.com/articles/2655021935", "매물Link")</f>
        <v/>
      </c>
      <c r="M3069" s="6">
        <f>HYPERLINK("https://map.naver.com/p/search/집현동 1310", "지도Link")</f>
        <v/>
      </c>
      <c r="N3069" s="6">
        <f>HYPERLINK("http://www.eum.go.kr/web/ar/lu/luLandDet.jsp?pnu=3611011800113100000&amp;isNoScr=script&amp;mode=search", "토지이음")</f>
        <v/>
      </c>
      <c r="O3069" s="3" t="inlineStr">
        <is>
          <t>세종스타</t>
        </is>
      </c>
      <c r="P3069" s="4" t="n">
        <v>2</v>
      </c>
      <c r="Q3069" s="4" t="n">
        <v>279.8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집현동 1313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52000</v>
      </c>
      <c r="G3070" s="4" t="n">
        <v>284</v>
      </c>
      <c r="H3070" s="4" t="n">
        <v>86</v>
      </c>
      <c r="I3070" s="5" t="n">
        <v>604.7</v>
      </c>
      <c r="J3070" s="5" t="n">
        <v>265.5</v>
      </c>
      <c r="K3070" s="3" t="inlineStr">
        <is>
          <t>앞,뒤 양면도로 접한 남향필지</t>
        </is>
      </c>
      <c r="L3070" s="6">
        <f>HYPERLINK("https://fin.land.naver.com/articles/2656274156", "매물Link")</f>
        <v/>
      </c>
      <c r="M3070" s="6">
        <f>HYPERLINK("https://map.naver.com/p/search/집현동 1313", "지도Link")</f>
        <v/>
      </c>
      <c r="N3070" s="6">
        <f>HYPERLINK("http://www.eum.go.kr/web/ar/lu/luLandDet.jsp?pnu=3611011800113130000&amp;isNoScr=script&amp;mode=search", "토지이음")</f>
        <v/>
      </c>
      <c r="O3070" s="3" t="inlineStr">
        <is>
          <t>킹세종</t>
        </is>
      </c>
      <c r="P3070" s="4" t="n">
        <v>2</v>
      </c>
      <c r="Q3070" s="4" t="n">
        <v>284.8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집현동 1325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45000</v>
      </c>
      <c r="G3071" s="4" t="n">
        <v>305</v>
      </c>
      <c r="H3071" s="4" t="n">
        <v>92</v>
      </c>
      <c r="I3071" s="5" t="n">
        <v>489.1</v>
      </c>
      <c r="J3071" s="5" t="n">
        <v>265.5</v>
      </c>
      <c r="K3071" s="3" t="inlineStr">
        <is>
          <t>nan</t>
        </is>
      </c>
      <c r="L3071" s="6">
        <f>HYPERLINK("https://fin.land.naver.com/articles/2651658100", "매물Link")</f>
        <v/>
      </c>
      <c r="M3071" s="6">
        <f>HYPERLINK("https://map.naver.com/p/search/집현동 1325", "지도Link")</f>
        <v/>
      </c>
      <c r="N3071" s="6">
        <f>HYPERLINK("http://www.eum.go.kr/web/ar/lu/luLandDet.jsp?pnu=3611011800113250000&amp;isNoScr=script&amp;mode=search", "토지이음")</f>
        <v/>
      </c>
      <c r="O3071" s="3" t="inlineStr">
        <is>
          <t>열린자이</t>
        </is>
      </c>
      <c r="P3071" s="4" t="n">
        <v>1</v>
      </c>
      <c r="Q3071" s="4" t="n">
        <v>304.8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집현동 1334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50000</v>
      </c>
      <c r="G3072" s="4" t="n">
        <v>309</v>
      </c>
      <c r="H3072" s="4" t="n">
        <v>93</v>
      </c>
      <c r="I3072" s="5" t="n">
        <v>537.6</v>
      </c>
      <c r="J3072" s="5" t="n">
        <v>265.5</v>
      </c>
      <c r="K3072" s="3" t="inlineStr">
        <is>
          <t>공원앞 위치좋은단독택지매매 가격조정가능</t>
        </is>
      </c>
      <c r="L3072" s="6">
        <f>HYPERLINK("https://fin.land.naver.com/articles/2653688105", "매물Link")</f>
        <v/>
      </c>
      <c r="M3072" s="6">
        <f>HYPERLINK("https://map.naver.com/p/search/집현동 1334", "지도Link")</f>
        <v/>
      </c>
      <c r="N3072" s="6">
        <f>HYPERLINK("http://www.eum.go.kr/web/ar/lu/luLandDet.jsp?pnu=3611011800113340000&amp;isNoScr=script&amp;mode=search", "토지이음")</f>
        <v/>
      </c>
      <c r="O3072" s="3" t="inlineStr">
        <is>
          <t>고운동리치세종</t>
        </is>
      </c>
      <c r="P3072" s="4" t="n">
        <v>1</v>
      </c>
      <c r="Q3072" s="4" t="n">
        <v>309.8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집현동 1337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55000</v>
      </c>
      <c r="G3073" s="4" t="n">
        <v>357</v>
      </c>
      <c r="H3073" s="4" t="n">
        <v>108</v>
      </c>
      <c r="I3073" s="5" t="n">
        <v>509.3</v>
      </c>
      <c r="J3073" s="5" t="n">
        <v>276</v>
      </c>
      <c r="K3073" s="3" t="inlineStr">
        <is>
          <t>코너자리로 위치좋은 단독택지 가격조정가능</t>
        </is>
      </c>
      <c r="L3073" s="6">
        <f>HYPERLINK("https://fin.land.naver.com/articles/2654718143", "매물Link")</f>
        <v/>
      </c>
      <c r="M3073" s="6">
        <f>HYPERLINK("https://map.naver.com/p/search/집현동 1337", "지도Link")</f>
        <v/>
      </c>
      <c r="N3073" s="6">
        <f>HYPERLINK("http://www.eum.go.kr/web/ar/lu/luLandDet.jsp?pnu=3611011800113370000&amp;isNoScr=script&amp;mode=search", "토지이음")</f>
        <v/>
      </c>
      <c r="O3073" s="3" t="inlineStr">
        <is>
          <t>고운동리치세종</t>
        </is>
      </c>
      <c r="P3073" s="4" t="n">
        <v>1</v>
      </c>
      <c r="Q3073" s="4" t="n">
        <v>357.7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가로장방</t>
        </is>
      </c>
      <c r="V3073" s="3" t="inlineStr">
        <is>
          <t>소로각지</t>
        </is>
      </c>
    </row>
    <row r="3074">
      <c r="A3074" s="3" t="inlineStr">
        <is>
          <t>집현동 1343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60000</v>
      </c>
      <c r="G3074" s="4" t="n">
        <v>390</v>
      </c>
      <c r="H3074" s="4" t="n">
        <v>118</v>
      </c>
      <c r="I3074" s="5" t="n">
        <v>508.5</v>
      </c>
      <c r="J3074" s="5" t="n">
        <v>278.9</v>
      </c>
      <c r="K3074" s="3" t="inlineStr">
        <is>
          <t>탁트인 공원조망 위치최상 왼쪽시유지접 지대높음</t>
        </is>
      </c>
      <c r="L3074" s="6">
        <f>HYPERLINK("https://fin.land.naver.com/articles/2656213612", "매물Link")</f>
        <v/>
      </c>
      <c r="M3074" s="6">
        <f>HYPERLINK("https://map.naver.com/p/search/집현동 1343", "지도Link")</f>
        <v/>
      </c>
      <c r="N3074" s="6">
        <f>HYPERLINK("http://www.eum.go.kr/web/ar/lu/luLandDet.jsp?pnu=3611011800113430000&amp;isNoScr=script&amp;mode=search", "토지이음")</f>
        <v/>
      </c>
      <c r="O3074" s="3" t="inlineStr">
        <is>
          <t>세종스타</t>
        </is>
      </c>
      <c r="P3074" s="4" t="n">
        <v>1</v>
      </c>
      <c r="Q3074" s="4" t="n">
        <v>390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가로장방</t>
        </is>
      </c>
      <c r="V3074" s="3" t="inlineStr">
        <is>
          <t>소로각지</t>
        </is>
      </c>
    </row>
    <row r="3075">
      <c r="A3075" s="3" t="inlineStr">
        <is>
          <t>집현동 1348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55000</v>
      </c>
      <c r="G3075" s="4" t="n">
        <v>414</v>
      </c>
      <c r="H3075" s="4" t="n">
        <v>125</v>
      </c>
      <c r="I3075" s="5" t="n">
        <v>440</v>
      </c>
      <c r="J3075" s="5" t="n">
        <v>278.9</v>
      </c>
      <c r="K3075" s="3" t="inlineStr">
        <is>
          <t>코너 넓은평수 시유지접 조율가능</t>
        </is>
      </c>
      <c r="L3075" s="6">
        <f>HYPERLINK("https://fin.land.naver.com/articles/2656214866", "매물Link")</f>
        <v/>
      </c>
      <c r="M3075" s="6">
        <f>HYPERLINK("https://map.naver.com/p/search/집현동 1348", "지도Link")</f>
        <v/>
      </c>
      <c r="N3075" s="6">
        <f>HYPERLINK("http://www.eum.go.kr/web/ar/lu/luLandDet.jsp?pnu=3611011800113480000&amp;isNoScr=script&amp;mode=search", "토지이음")</f>
        <v/>
      </c>
      <c r="O3075" s="3" t="inlineStr">
        <is>
          <t>세종스타</t>
        </is>
      </c>
      <c r="P3075" s="4" t="n">
        <v>2</v>
      </c>
      <c r="Q3075" s="4" t="n">
        <v>414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가로장방</t>
        </is>
      </c>
      <c r="V3075" s="3" t="inlineStr">
        <is>
          <t>소로각지</t>
        </is>
      </c>
    </row>
    <row r="3076">
      <c r="A3076" s="3" t="inlineStr">
        <is>
          <t>한솔동 1000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41500</v>
      </c>
      <c r="G3076" s="4" t="n">
        <v>277</v>
      </c>
      <c r="H3076" s="4" t="n">
        <v>84</v>
      </c>
      <c r="I3076" s="5" t="n">
        <v>494</v>
      </c>
      <c r="J3076" s="5" t="n">
        <v>314.9</v>
      </c>
      <c r="K3076" s="3" t="inlineStr">
        <is>
          <t>급매, 84.1p, 삼거리 코너, 상가와 공원 인근</t>
        </is>
      </c>
      <c r="L3076" s="6">
        <f>HYPERLINK("https://fin.land.naver.com/articles/2654218385", "매물Link")</f>
        <v/>
      </c>
      <c r="M3076" s="6">
        <f>HYPERLINK("https://map.naver.com/p/search/한솔동 1000", "지도Link")</f>
        <v/>
      </c>
      <c r="N3076" s="6">
        <f>HYPERLINK("http://www.eum.go.kr/web/ar/lu/luLandDet.jsp?pnu=3611010600110000000&amp;isNoScr=script&amp;mode=search", "토지이음")</f>
        <v/>
      </c>
      <c r="O3076" s="3" t="inlineStr">
        <is>
          <t>명진</t>
        </is>
      </c>
      <c r="P3076" s="4" t="n">
        <v>1</v>
      </c>
      <c r="Q3076" s="4" t="n">
        <v>277.5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소로각지</t>
        </is>
      </c>
    </row>
    <row r="3077">
      <c r="A3077" s="3" t="inlineStr">
        <is>
          <t>한솔동 1000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40500</v>
      </c>
      <c r="G3077" s="4" t="n">
        <v>277</v>
      </c>
      <c r="H3077" s="4" t="n">
        <v>84</v>
      </c>
      <c r="I3077" s="5" t="n">
        <v>482.1</v>
      </c>
      <c r="J3077" s="5" t="n">
        <v>314.9</v>
      </c>
      <c r="K3077" s="3" t="inlineStr">
        <is>
          <t>채광좋음 상권가깝고 뒤로 보행로접함</t>
        </is>
      </c>
      <c r="L3077" s="6">
        <f>HYPERLINK("https://fin.land.naver.com/articles/2655187154", "매물Link")</f>
        <v/>
      </c>
      <c r="M3077" s="6">
        <f>HYPERLINK("https://map.naver.com/p/search/한솔동 1000", "지도Link")</f>
        <v/>
      </c>
      <c r="N3077" s="6">
        <f>HYPERLINK("http://www.eum.go.kr/web/ar/lu/luLandDet.jsp?pnu=3611010600110000000&amp;isNoScr=script&amp;mode=search", "토지이음")</f>
        <v/>
      </c>
      <c r="O3077" s="3" t="inlineStr">
        <is>
          <t>세종스타</t>
        </is>
      </c>
      <c r="P3077" s="4" t="n">
        <v>1</v>
      </c>
      <c r="Q3077" s="4" t="n">
        <v>277.5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1000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41500</v>
      </c>
      <c r="G3078" s="4" t="n">
        <v>275</v>
      </c>
      <c r="H3078" s="4" t="n">
        <v>83</v>
      </c>
      <c r="I3078" s="5" t="n">
        <v>500</v>
      </c>
      <c r="J3078" s="5" t="n">
        <v>314.9</v>
      </c>
      <c r="K3078" s="3" t="inlineStr">
        <is>
          <t>급매, 총 84.1p, 삼거리 코너 토지</t>
        </is>
      </c>
      <c r="L3078" s="6">
        <f>HYPERLINK("https://fin.land.naver.com/articles/2652841509", "매물Link")</f>
        <v/>
      </c>
      <c r="M3078" s="6">
        <f>HYPERLINK("https://map.naver.com/p/search/한솔동 1000", "지도Link")</f>
        <v/>
      </c>
      <c r="N3078" s="6">
        <f>HYPERLINK("http://www.eum.go.kr/web/ar/lu/luLandDet.jsp?pnu=3611010600110000000&amp;isNoScr=script&amp;mode=search", "토지이음")</f>
        <v/>
      </c>
      <c r="O3078" s="3" t="inlineStr">
        <is>
          <t>세종무지개</t>
        </is>
      </c>
      <c r="P3078" s="4" t="n">
        <v>1</v>
      </c>
      <c r="Q3078" s="4" t="n">
        <v>277.5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1003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52000</v>
      </c>
      <c r="G3079" s="4" t="n">
        <v>277</v>
      </c>
      <c r="H3079" s="4" t="n">
        <v>84</v>
      </c>
      <c r="I3079" s="5" t="n">
        <v>619</v>
      </c>
      <c r="J3079" s="5" t="n">
        <v>314.9</v>
      </c>
      <c r="K3079" s="3" t="inlineStr">
        <is>
          <t>가치있는  즉시 신축 가능 추천  단독주택 도심속전원 시내 시외 진출입</t>
        </is>
      </c>
      <c r="L3079" s="6">
        <f>HYPERLINK("https://fin.land.naver.com/articles/2651707666", "매물Link")</f>
        <v/>
      </c>
      <c r="M3079" s="6">
        <f>HYPERLINK("https://map.naver.com/p/search/한솔동 1003", "지도Link")</f>
        <v/>
      </c>
      <c r="N3079" s="6">
        <f>HYPERLINK("http://www.eum.go.kr/web/ar/lu/luLandDet.jsp?pnu=3611010600110030000&amp;isNoScr=script&amp;mode=search", "토지이음")</f>
        <v/>
      </c>
      <c r="O3079" s="3" t="inlineStr">
        <is>
          <t>세종시삼성래미안</t>
        </is>
      </c>
      <c r="P3079" s="4" t="n">
        <v>1</v>
      </c>
      <c r="Q3079" s="4" t="n">
        <v>277.8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정방형</t>
        </is>
      </c>
      <c r="V3079" s="3" t="inlineStr">
        <is>
          <t>소로각지</t>
        </is>
      </c>
    </row>
    <row r="3080">
      <c r="A3080" s="3" t="inlineStr">
        <is>
          <t>한솔동 1005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50000</v>
      </c>
      <c r="G3080" s="4" t="n">
        <v>277</v>
      </c>
      <c r="H3080" s="4" t="n">
        <v>84</v>
      </c>
      <c r="I3080" s="5" t="n">
        <v>595.2</v>
      </c>
      <c r="J3080" s="5" t="n">
        <v>314.9</v>
      </c>
      <c r="K3080" s="3" t="inlineStr">
        <is>
          <t>급매 채광최상 남서향막힘없음 초중고5분내</t>
        </is>
      </c>
      <c r="L3080" s="6">
        <f>HYPERLINK("https://fin.land.naver.com/articles/2652441626", "매물Link")</f>
        <v/>
      </c>
      <c r="M3080" s="6">
        <f>HYPERLINK("https://map.naver.com/p/search/한솔동 1005", "지도Link")</f>
        <v/>
      </c>
      <c r="N3080" s="6">
        <f>HYPERLINK("http://www.eum.go.kr/web/ar/lu/luLandDet.jsp?pnu=3611010600110050000&amp;isNoScr=script&amp;mode=search", "토지이음")</f>
        <v/>
      </c>
      <c r="O3080" s="3" t="inlineStr">
        <is>
          <t>세종스타</t>
        </is>
      </c>
      <c r="P3080" s="4" t="n">
        <v>1</v>
      </c>
      <c r="Q3080" s="4" t="n">
        <v>276.7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소로각지</t>
        </is>
      </c>
    </row>
    <row r="3081">
      <c r="A3081" s="3" t="inlineStr">
        <is>
          <t>한솔동 1006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62000</v>
      </c>
      <c r="G3081" s="4" t="n">
        <v>394</v>
      </c>
      <c r="H3081" s="4" t="n">
        <v>119</v>
      </c>
      <c r="I3081" s="5" t="n">
        <v>521</v>
      </c>
      <c r="J3081" s="5" t="n">
        <v>314.9</v>
      </c>
      <c r="K3081" s="3" t="inlineStr">
        <is>
          <t>총 119.7p, 대형면적 단독주택토지, 한솔초.중.고 인접</t>
        </is>
      </c>
      <c r="L3081" s="6">
        <f>HYPERLINK("https://fin.land.naver.com/articles/2654225978", "매물Link")</f>
        <v/>
      </c>
      <c r="M3081" s="6">
        <f>HYPERLINK("https://map.naver.com/p/search/한솔동 1006", "지도Link")</f>
        <v/>
      </c>
      <c r="N3081" s="6">
        <f>HYPERLINK("http://www.eum.go.kr/web/ar/lu/luLandDet.jsp?pnu=3611010600110060000&amp;isNoScr=script&amp;mode=search", "토지이음")</f>
        <v/>
      </c>
      <c r="O3081" s="3" t="inlineStr">
        <is>
          <t>명진</t>
        </is>
      </c>
      <c r="P3081" s="4" t="n">
        <v>1</v>
      </c>
      <c r="Q3081" s="4" t="n">
        <v>394.9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소로각지</t>
        </is>
      </c>
    </row>
    <row r="3082">
      <c r="A3082" s="3" t="inlineStr">
        <is>
          <t>한솔동 1006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62000</v>
      </c>
      <c r="G3082" s="4" t="n">
        <v>394</v>
      </c>
      <c r="H3082" s="4" t="n">
        <v>119</v>
      </c>
      <c r="I3082" s="5" t="n">
        <v>521</v>
      </c>
      <c r="J3082" s="5" t="n">
        <v>314.9</v>
      </c>
      <c r="K3082" s="3" t="inlineStr">
        <is>
          <t>대형 평수 I 풍부한 생활 인프라와 쾌적성을 모두 갖춘 프리미엄 택지</t>
        </is>
      </c>
      <c r="L3082" s="6">
        <f>HYPERLINK("https://fin.land.naver.com/articles/2655916171", "매물Link")</f>
        <v/>
      </c>
      <c r="M3082" s="6">
        <f>HYPERLINK("https://map.naver.com/p/search/한솔동 1006", "지도Link")</f>
        <v/>
      </c>
      <c r="N3082" s="6">
        <f>HYPERLINK("http://www.eum.go.kr/web/ar/lu/luLandDet.jsp?pnu=3611010600110060000&amp;isNoScr=script&amp;mode=search", "토지이음")</f>
        <v/>
      </c>
      <c r="O3082" s="3" t="inlineStr">
        <is>
          <t>세종신한</t>
        </is>
      </c>
      <c r="P3082" s="4" t="n">
        <v>2</v>
      </c>
      <c r="Q3082" s="4" t="n">
        <v>394.9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정방형</t>
        </is>
      </c>
      <c r="V3082" s="3" t="inlineStr">
        <is>
          <t>소로각지</t>
        </is>
      </c>
    </row>
    <row r="3083">
      <c r="A3083" s="3" t="inlineStr">
        <is>
          <t>한솔동 1006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62000</v>
      </c>
      <c r="G3083" s="4" t="n">
        <v>394</v>
      </c>
      <c r="H3083" s="4" t="n">
        <v>119</v>
      </c>
      <c r="I3083" s="5" t="n">
        <v>521</v>
      </c>
      <c r="J3083" s="5" t="n">
        <v>314.9</v>
      </c>
      <c r="K3083" s="3" t="inlineStr">
        <is>
          <t>단독주택 토지, 학군인접</t>
        </is>
      </c>
      <c r="L3083" s="6">
        <f>HYPERLINK("https://fin.land.naver.com/articles/2652841375", "매물Link")</f>
        <v/>
      </c>
      <c r="M3083" s="6">
        <f>HYPERLINK("https://map.naver.com/p/search/한솔동 1006", "지도Link")</f>
        <v/>
      </c>
      <c r="N3083" s="6">
        <f>HYPERLINK("http://www.eum.go.kr/web/ar/lu/luLandDet.jsp?pnu=3611010600110060000&amp;isNoScr=script&amp;mode=search", "토지이음")</f>
        <v/>
      </c>
      <c r="O3083" s="3" t="inlineStr">
        <is>
          <t>세종무지개</t>
        </is>
      </c>
      <c r="P3083" s="4" t="n">
        <v>1</v>
      </c>
      <c r="Q3083" s="4" t="n">
        <v>394.9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정방형</t>
        </is>
      </c>
      <c r="V3083" s="3" t="inlineStr">
        <is>
          <t>소로각지</t>
        </is>
      </c>
    </row>
    <row r="3084">
      <c r="A3084" s="3" t="inlineStr">
        <is>
          <t>한솔동 1007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62000</v>
      </c>
      <c r="G3084" s="4" t="n">
        <v>395</v>
      </c>
      <c r="H3084" s="4" t="n">
        <v>119</v>
      </c>
      <c r="I3084" s="5" t="n">
        <v>521</v>
      </c>
      <c r="J3084" s="5" t="n">
        <v>302.8</v>
      </c>
      <c r="K3084" s="3" t="inlineStr">
        <is>
          <t>조정가능 한솔초중고 이마트 코스트코 인근 단독 주택지</t>
        </is>
      </c>
      <c r="L3084" s="6">
        <f>HYPERLINK("https://fin.land.naver.com/articles/2655546678", "매물Link")</f>
        <v/>
      </c>
      <c r="M3084" s="6">
        <f>HYPERLINK("https://map.naver.com/p/search/한솔동 1007", "지도Link")</f>
        <v/>
      </c>
      <c r="N3084" s="6">
        <f>HYPERLINK("http://www.eum.go.kr/web/ar/lu/luLandDet.jsp?pnu=3611010600110070000&amp;isNoScr=script&amp;mode=search", "토지이음")</f>
        <v/>
      </c>
      <c r="O3084" s="3" t="inlineStr">
        <is>
          <t>그래그</t>
        </is>
      </c>
      <c r="P3084" s="4" t="n">
        <v>1</v>
      </c>
      <c r="Q3084" s="4" t="n">
        <v>395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1010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317</v>
      </c>
      <c r="H3085" s="4" t="n">
        <v>96</v>
      </c>
      <c r="I3085" s="5" t="n">
        <v>520.8</v>
      </c>
      <c r="J3085" s="5" t="n">
        <v>302.8</v>
      </c>
      <c r="K3085" s="3" t="inlineStr">
        <is>
          <t>급매 추가조율가능 한솔동D3택지</t>
        </is>
      </c>
      <c r="L3085" s="6">
        <f>HYPERLINK("https://fin.land.naver.com/articles/2656122798", "매물Link")</f>
        <v/>
      </c>
      <c r="M3085" s="6">
        <f>HYPERLINK("https://map.naver.com/p/search/한솔동 1010", "지도Link")</f>
        <v/>
      </c>
      <c r="N3085" s="6">
        <f>HYPERLINK("http://www.eum.go.kr/web/ar/lu/luLandDet.jsp?pnu=3611010600110100000&amp;isNoScr=script&amp;mode=search",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317.1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1036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55000</v>
      </c>
      <c r="G3086" s="4" t="n">
        <v>403</v>
      </c>
      <c r="H3086" s="4" t="n">
        <v>122</v>
      </c>
      <c r="I3086" s="5" t="n">
        <v>450.8</v>
      </c>
      <c r="J3086" s="5" t="n">
        <v>290.7</v>
      </c>
      <c r="K3086" s="3" t="inlineStr">
        <is>
          <t>가격 좋은 넓은 평형 토지매매, 조율도 가능</t>
        </is>
      </c>
      <c r="L3086" s="6">
        <f>HYPERLINK("https://fin.land.naver.com/articles/2656269979", "매물Link")</f>
        <v/>
      </c>
      <c r="M3086" s="6">
        <f>HYPERLINK("https://map.naver.com/p/search/한솔동 1036", "지도Link")</f>
        <v/>
      </c>
      <c r="N3086" s="6">
        <f>HYPERLINK("http://www.eum.go.kr/web/ar/lu/luLandDet.jsp?pnu=3611010600110360000&amp;isNoScr=script&amp;mode=search", "토지이음")</f>
        <v/>
      </c>
      <c r="O3086" s="3" t="inlineStr">
        <is>
          <t>세종무지개</t>
        </is>
      </c>
      <c r="P3086" s="4" t="n">
        <v>1</v>
      </c>
      <c r="Q3086" s="4" t="n">
        <v>405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자루형</t>
        </is>
      </c>
      <c r="V3086" s="3" t="inlineStr">
        <is>
          <t>소로한면</t>
        </is>
      </c>
    </row>
    <row r="3087">
      <c r="A3087" s="3" t="inlineStr">
        <is>
          <t>한솔동 1048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41000</v>
      </c>
      <c r="G3087" s="4" t="n">
        <v>294</v>
      </c>
      <c r="H3087" s="4" t="n">
        <v>89</v>
      </c>
      <c r="I3087" s="5" t="n">
        <v>460.7</v>
      </c>
      <c r="J3087" s="5" t="n">
        <v>373.6</v>
      </c>
      <c r="K3087" s="3" t="inlineStr">
        <is>
          <t>남향,교육,상권,교통 생활편리한 한솔동 단독주택지 입니다.</t>
        </is>
      </c>
      <c r="L3087" s="6">
        <f>HYPERLINK("https://fin.land.naver.com/articles/2655008457", "매물Link")</f>
        <v/>
      </c>
      <c r="M3087" s="6">
        <f>HYPERLINK("https://map.naver.com/p/search/한솔동 1048", "지도Link")</f>
        <v/>
      </c>
      <c r="N3087" s="6">
        <f>HYPERLINK("http://www.eum.go.kr/web/ar/lu/luLandDet.jsp?pnu=3611010600110480000&amp;isNoScr=script&amp;mode=search", "토지이음")</f>
        <v/>
      </c>
      <c r="O3087" s="3" t="inlineStr">
        <is>
          <t>디아트성심</t>
        </is>
      </c>
      <c r="P3087" s="4" t="n">
        <v>1</v>
      </c>
      <c r="Q3087" s="4" t="n">
        <v>294.2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1050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50000</v>
      </c>
      <c r="G3088" s="4" t="n">
        <v>294</v>
      </c>
      <c r="H3088" s="4" t="n">
        <v>89</v>
      </c>
      <c r="I3088" s="5" t="n">
        <v>561.8</v>
      </c>
      <c r="J3088" s="5" t="n">
        <v>373.6</v>
      </c>
      <c r="K3088" s="3" t="inlineStr">
        <is>
          <t>남향,교육,상권,교통 생활편리한 한솔동 단독주택지 입니다.</t>
        </is>
      </c>
      <c r="L3088" s="6">
        <f>HYPERLINK("https://fin.land.naver.com/articles/2655008399", "매물Link")</f>
        <v/>
      </c>
      <c r="M3088" s="6">
        <f>HYPERLINK("https://map.naver.com/p/search/한솔동 1050", "지도Link")</f>
        <v/>
      </c>
      <c r="N3088" s="6">
        <f>HYPERLINK("http://www.eum.go.kr/web/ar/lu/luLandDet.jsp?pnu=3611010600110500000&amp;isNoScr=script&amp;mode=search",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294.3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한솔동 1059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50000</v>
      </c>
      <c r="G3089" s="4" t="n">
        <v>312</v>
      </c>
      <c r="H3089" s="4" t="n">
        <v>94</v>
      </c>
      <c r="I3089" s="5" t="n">
        <v>531.9</v>
      </c>
      <c r="J3089" s="5" t="n">
        <v>373.6</v>
      </c>
      <c r="K3089" s="3" t="inlineStr">
        <is>
          <t>상가 및 대중교통 이용 편리한 위치,근린공원 근접</t>
        </is>
      </c>
      <c r="L3089" s="6">
        <f>HYPERLINK("https://fin.land.naver.com/articles/2653795767", "매물Link")</f>
        <v/>
      </c>
      <c r="M3089" s="6">
        <f>HYPERLINK("https://map.naver.com/p/search/한솔동 1059", "지도Link")</f>
        <v/>
      </c>
      <c r="N3089" s="6">
        <f>HYPERLINK("http://www.eum.go.kr/web/ar/lu/luLandDet.jsp?pnu=3611010600110590000&amp;isNoScr=script&amp;mode=search", "토지이음")</f>
        <v/>
      </c>
      <c r="O3089" s="3" t="inlineStr">
        <is>
          <t>현대파라곤</t>
        </is>
      </c>
      <c r="P3089" s="4" t="n">
        <v>1</v>
      </c>
      <c r="Q3089" s="4" t="n">
        <v>312.4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한솔동 1080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59000</v>
      </c>
      <c r="G3090" s="4" t="n">
        <v>301</v>
      </c>
      <c r="H3090" s="4" t="n">
        <v>91</v>
      </c>
      <c r="I3090" s="5" t="n">
        <v>648.4</v>
      </c>
      <c r="J3090" s="5" t="n">
        <v>369.3</v>
      </c>
      <c r="K3090" s="3" t="inlineStr">
        <is>
          <t>총 91.2p, 한솔동 전원주택지, 위치좋은 토지</t>
        </is>
      </c>
      <c r="L3090" s="6">
        <f>HYPERLINK("https://fin.land.naver.com/articles/2654927736", "매물Link")</f>
        <v/>
      </c>
      <c r="M3090" s="6">
        <f>HYPERLINK("https://map.naver.com/p/search/한솔동 1080", "지도Link")</f>
        <v/>
      </c>
      <c r="N3090" s="6">
        <f>HYPERLINK("http://www.eum.go.kr/web/ar/lu/luLandDet.jsp?pnu=3611010600110800000&amp;isNoScr=script&amp;mode=search", "토지이음")</f>
        <v/>
      </c>
      <c r="O3090" s="3" t="inlineStr">
        <is>
          <t>명진</t>
        </is>
      </c>
      <c r="P3090" s="4" t="n">
        <v>1</v>
      </c>
      <c r="Q3090" s="4" t="n">
        <v>301.1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1080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59000</v>
      </c>
      <c r="G3091" s="4" t="n">
        <v>301</v>
      </c>
      <c r="H3091" s="4" t="n">
        <v>91</v>
      </c>
      <c r="I3091" s="5" t="n">
        <v>648.4</v>
      </c>
      <c r="J3091" s="5" t="n">
        <v>369.3</v>
      </c>
      <c r="K3091" s="3" t="inlineStr">
        <is>
          <t>총 91.2p, 근린공원인근, 조율가능</t>
        </is>
      </c>
      <c r="L3091" s="6">
        <f>HYPERLINK("https://fin.land.naver.com/articles/2652839380", "매물Link")</f>
        <v/>
      </c>
      <c r="M3091" s="6">
        <f>HYPERLINK("https://map.naver.com/p/search/한솔동 1080", "지도Link")</f>
        <v/>
      </c>
      <c r="N3091" s="6">
        <f>HYPERLINK("http://www.eum.go.kr/web/ar/lu/luLandDet.jsp?pnu=3611010600110800000&amp;isNoScr=script&amp;mode=search",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301.1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1086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60000</v>
      </c>
      <c r="G3092" s="4" t="n">
        <v>302</v>
      </c>
      <c r="H3092" s="4" t="n">
        <v>91</v>
      </c>
      <c r="I3092" s="5" t="n">
        <v>659.3</v>
      </c>
      <c r="J3092" s="5" t="n">
        <v>377.2</v>
      </c>
      <c r="K3092" s="3" t="inlineStr">
        <is>
          <t>황제급매 즉시신축 핵심시설 어울린 전원주택 먼곳 찾을필요 없을것 같아요</t>
        </is>
      </c>
      <c r="L3092" s="6">
        <f>HYPERLINK("https://fin.land.naver.com/articles/2654861252", "매물Link")</f>
        <v/>
      </c>
      <c r="M3092" s="6">
        <f>HYPERLINK("https://map.naver.com/p/search/한솔동 1086", "지도Link")</f>
        <v/>
      </c>
      <c r="N3092" s="6">
        <f>HYPERLINK("http://www.eum.go.kr/web/ar/lu/luLandDet.jsp?pnu=3611010600110860000&amp;isNoScr=script&amp;mode=search", "토지이음")</f>
        <v/>
      </c>
      <c r="O3092" s="3" t="inlineStr">
        <is>
          <t>삼성래미안</t>
        </is>
      </c>
      <c r="P3092" s="4" t="n">
        <v>3</v>
      </c>
      <c r="Q3092" s="4" t="n">
        <v>302.9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한솔동 1086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60000</v>
      </c>
      <c r="G3093" s="4" t="n">
        <v>310</v>
      </c>
      <c r="H3093" s="4" t="n">
        <v>94</v>
      </c>
      <c r="I3093" s="5" t="n">
        <v>638.3</v>
      </c>
      <c r="J3093" s="5" t="n">
        <v>377.2</v>
      </c>
      <c r="K3093" s="3" t="inlineStr">
        <is>
          <t>nan</t>
        </is>
      </c>
      <c r="L3093" s="6">
        <f>HYPERLINK("https://fin.land.naver.com/articles/2655011623", "매물Link")</f>
        <v/>
      </c>
      <c r="M3093" s="6">
        <f>HYPERLINK("https://map.naver.com/p/search/한솔동 1086", "지도Link")</f>
        <v/>
      </c>
      <c r="N3093" s="6">
        <f>HYPERLINK("http://www.eum.go.kr/web/ar/lu/luLandDet.jsp?pnu=3611010600110860000&amp;isNoScr=script&amp;mode=search",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302.9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한솔동 1087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85000</v>
      </c>
      <c r="G3094" s="4" t="n">
        <v>305</v>
      </c>
      <c r="H3094" s="4" t="n">
        <v>92</v>
      </c>
      <c r="I3094" s="5" t="n">
        <v>923.9</v>
      </c>
      <c r="J3094" s="5" t="n">
        <v>377.2</v>
      </c>
      <c r="K3094" s="3" t="inlineStr">
        <is>
          <t>nan</t>
        </is>
      </c>
      <c r="L3094" s="6">
        <f>HYPERLINK("https://fin.land.naver.com/articles/2655007481", "매물Link")</f>
        <v/>
      </c>
      <c r="M3094" s="6">
        <f>HYPERLINK("https://map.naver.com/p/search/한솔동 1087", "지도Link")</f>
        <v/>
      </c>
      <c r="N3094" s="6">
        <f>HYPERLINK("http://www.eum.go.kr/web/ar/lu/luLandDet.jsp?pnu=3611010600110870000&amp;isNoScr=script&amp;mode=search",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303.9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한솔동 1087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85000</v>
      </c>
      <c r="G3095" s="4" t="n">
        <v>303</v>
      </c>
      <c r="H3095" s="4" t="n">
        <v>92</v>
      </c>
      <c r="I3095" s="5" t="n">
        <v>923.9</v>
      </c>
      <c r="J3095" s="5" t="n">
        <v>377.2</v>
      </c>
      <c r="K3095" s="3" t="inlineStr">
        <is>
          <t>한솔동, 단독주택지 토지매매</t>
        </is>
      </c>
      <c r="L3095" s="6">
        <f>HYPERLINK("https://fin.land.naver.com/articles/2655854029", "매물Link")</f>
        <v/>
      </c>
      <c r="M3095" s="6">
        <f>HYPERLINK("https://map.naver.com/p/search/한솔동 1087", "지도Link")</f>
        <v/>
      </c>
      <c r="N3095" s="6">
        <f>HYPERLINK("http://www.eum.go.kr/web/ar/lu/luLandDet.jsp?pnu=3611010600110870000&amp;isNoScr=script&amp;mode=search", "토지이음")</f>
        <v/>
      </c>
      <c r="O3095" s="3" t="inlineStr">
        <is>
          <t>명진</t>
        </is>
      </c>
      <c r="P3095" s="4" t="n">
        <v>1</v>
      </c>
      <c r="Q3095" s="4" t="n">
        <v>303.9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1098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80000</v>
      </c>
      <c r="G3096" s="4" t="n">
        <v>314</v>
      </c>
      <c r="H3096" s="4" t="n">
        <v>95</v>
      </c>
      <c r="I3096" s="5" t="n">
        <v>842.1</v>
      </c>
      <c r="J3096" s="5" t="n">
        <v>373.6</v>
      </c>
      <c r="K3096" s="3" t="inlineStr">
        <is>
          <t>조건 파격조율가능 도심속전원 시내 시외 진출입편리 이곳은 엘도라도입니다</t>
        </is>
      </c>
      <c r="L3096" s="6">
        <f>HYPERLINK("https://fin.land.naver.com/articles/2654203210", "매물Link")</f>
        <v/>
      </c>
      <c r="M3096" s="6">
        <f>HYPERLINK("https://map.naver.com/p/search/한솔동 1098", "지도Link")</f>
        <v/>
      </c>
      <c r="N3096" s="6">
        <f>HYPERLINK("http://www.eum.go.kr/web/ar/lu/luLandDet.jsp?pnu=3611010600110980000&amp;isNoScr=script&amp;mode=search", "토지이음")</f>
        <v/>
      </c>
      <c r="O3096" s="3" t="inlineStr">
        <is>
          <t>세종시삼성래미안</t>
        </is>
      </c>
      <c r="P3096" s="4" t="n">
        <v>1</v>
      </c>
      <c r="Q3096" s="4" t="n">
        <v>314.9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세로장방</t>
        </is>
      </c>
      <c r="V3096" s="3" t="inlineStr">
        <is>
          <t>소로한면</t>
        </is>
      </c>
    </row>
    <row r="3097">
      <c r="A3097" s="3" t="inlineStr">
        <is>
          <t>한솔동 1098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80000</v>
      </c>
      <c r="G3097" s="4" t="n">
        <v>314</v>
      </c>
      <c r="H3097" s="4" t="n">
        <v>95</v>
      </c>
      <c r="I3097" s="5" t="n">
        <v>842.1</v>
      </c>
      <c r="J3097" s="5" t="n">
        <v>373.6</v>
      </c>
      <c r="K3097" s="3" t="inlineStr">
        <is>
          <t>삼거리 코너입지, 한솔동 단독주택지</t>
        </is>
      </c>
      <c r="L3097" s="6">
        <f>HYPERLINK("https://fin.land.naver.com/articles/2656269172", "매물Link")</f>
        <v/>
      </c>
      <c r="M3097" s="6">
        <f>HYPERLINK("https://map.naver.com/p/search/한솔동 1098", "지도Link")</f>
        <v/>
      </c>
      <c r="N3097" s="6">
        <f>HYPERLINK("http://www.eum.go.kr/web/ar/lu/luLandDet.jsp?pnu=3611010600110980000&amp;isNoScr=script&amp;mode=search", "토지이음")</f>
        <v/>
      </c>
      <c r="O3097" s="3" t="inlineStr">
        <is>
          <t>세종무지개</t>
        </is>
      </c>
      <c r="P3097" s="4" t="n">
        <v>1</v>
      </c>
      <c r="Q3097" s="4" t="n">
        <v>314.9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1098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80000</v>
      </c>
      <c r="G3098" s="4" t="n">
        <v>314</v>
      </c>
      <c r="H3098" s="4" t="n">
        <v>95</v>
      </c>
      <c r="I3098" s="5" t="n">
        <v>842.1</v>
      </c>
      <c r="J3098" s="5" t="n">
        <v>373.6</v>
      </c>
      <c r="K3098" s="3" t="inlineStr">
        <is>
          <t>95.4p, 삼거리코너 맞은편, 새뜸1단지 앞 단독주택 토지</t>
        </is>
      </c>
      <c r="L3098" s="6">
        <f>HYPERLINK("https://fin.land.naver.com/articles/2654927138", "매물Link")</f>
        <v/>
      </c>
      <c r="M3098" s="6">
        <f>HYPERLINK("https://map.naver.com/p/search/한솔동 1098", "지도Link")</f>
        <v/>
      </c>
      <c r="N3098" s="6">
        <f>HYPERLINK("http://www.eum.go.kr/web/ar/lu/luLandDet.jsp?pnu=3611010600110980000&amp;isNoScr=script&amp;mode=search", "토지이음")</f>
        <v/>
      </c>
      <c r="O3098" s="3" t="inlineStr">
        <is>
          <t>명진</t>
        </is>
      </c>
      <c r="P3098" s="4" t="n">
        <v>1</v>
      </c>
      <c r="Q3098" s="4" t="n">
        <v>314.9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세로장방</t>
        </is>
      </c>
      <c r="V3098" s="3" t="inlineStr">
        <is>
          <t>소로한면</t>
        </is>
      </c>
    </row>
    <row r="3099">
      <c r="A3099" s="3" t="inlineStr">
        <is>
          <t>한솔동 1113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60000</v>
      </c>
      <c r="G3099" s="4" t="n">
        <v>320</v>
      </c>
      <c r="H3099" s="4" t="n">
        <v>97</v>
      </c>
      <c r="I3099" s="5" t="n">
        <v>618.6</v>
      </c>
      <c r="J3099" s="5" t="n">
        <v>373.6</v>
      </c>
      <c r="K3099" s="3" t="inlineStr">
        <is>
          <t>적극협의가능 시유지넓게접함 선호위치</t>
        </is>
      </c>
      <c r="L3099" s="6">
        <f>HYPERLINK("https://fin.land.naver.com/articles/2656122956", "매물Link")</f>
        <v/>
      </c>
      <c r="M3099" s="6">
        <f>HYPERLINK("https://map.naver.com/p/search/한솔동 1113", "지도Link")</f>
        <v/>
      </c>
      <c r="N3099" s="6">
        <f>HYPERLINK("http://www.eum.go.kr/web/ar/lu/luLandDet.jsp?pnu=3611010600111130000&amp;isNoScr=script&amp;mode=search",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320.1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세로장방</t>
        </is>
      </c>
      <c r="V3099" s="3" t="inlineStr">
        <is>
          <t>소로한면</t>
        </is>
      </c>
    </row>
    <row r="3100">
      <c r="A3100" s="3" t="inlineStr">
        <is>
          <t>한솔동 1122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80000</v>
      </c>
      <c r="G3100" s="4" t="n">
        <v>310</v>
      </c>
      <c r="H3100" s="4" t="n">
        <v>94</v>
      </c>
      <c r="I3100" s="5" t="n">
        <v>851.1</v>
      </c>
      <c r="J3100" s="5" t="n">
        <v>376.9</v>
      </c>
      <c r="K3100" s="3" t="inlineStr">
        <is>
          <t>총 94p, 한솔동 단독주택지 토지</t>
        </is>
      </c>
      <c r="L3100" s="6">
        <f>HYPERLINK("https://fin.land.naver.com/articles/2654920463", "매물Link")</f>
        <v/>
      </c>
      <c r="M3100" s="6">
        <f>HYPERLINK("https://map.naver.com/p/search/한솔동 1122", "지도Link")</f>
        <v/>
      </c>
      <c r="N3100" s="6">
        <f>HYPERLINK("http://www.eum.go.kr/web/ar/lu/luLandDet.jsp?pnu=3611010600111220000&amp;isNoScr=script&amp;mode=search",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310.1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세로장방</t>
        </is>
      </c>
      <c r="V3100" s="3" t="inlineStr">
        <is>
          <t>소로한면</t>
        </is>
      </c>
    </row>
    <row r="3101">
      <c r="A3101" s="3" t="inlineStr">
        <is>
          <t>한솔동 1122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80000</v>
      </c>
      <c r="G3101" s="4" t="n">
        <v>310</v>
      </c>
      <c r="H3101" s="4" t="n">
        <v>94</v>
      </c>
      <c r="I3101" s="5" t="n">
        <v>851.1</v>
      </c>
      <c r="J3101" s="5" t="n">
        <v>376.9</v>
      </c>
      <c r="K3101" s="3" t="inlineStr">
        <is>
          <t>한솔동 단독주택 토지매매</t>
        </is>
      </c>
      <c r="L3101" s="6">
        <f>HYPERLINK("https://fin.land.naver.com/articles/2656264724", "매물Link")</f>
        <v/>
      </c>
      <c r="M3101" s="6">
        <f>HYPERLINK("https://map.naver.com/p/search/한솔동 1122", "지도Link")</f>
        <v/>
      </c>
      <c r="N3101" s="6">
        <f>HYPERLINK("http://www.eum.go.kr/web/ar/lu/luLandDet.jsp?pnu=3611010600111220000&amp;isNoScr=script&amp;mode=search", "토지이음")</f>
        <v/>
      </c>
      <c r="O3101" s="3" t="inlineStr">
        <is>
          <t>세종무지개</t>
        </is>
      </c>
      <c r="P3101" s="4" t="n">
        <v>1</v>
      </c>
      <c r="Q3101" s="4" t="n">
        <v>310.1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소로한면</t>
        </is>
      </c>
    </row>
    <row r="3102">
      <c r="A3102" s="3" t="inlineStr">
        <is>
          <t>한솔동 1135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55000</v>
      </c>
      <c r="G3102" s="4" t="n">
        <v>309</v>
      </c>
      <c r="H3102" s="4" t="n">
        <v>93</v>
      </c>
      <c r="I3102" s="5" t="n">
        <v>591.4</v>
      </c>
      <c r="J3102" s="5" t="n">
        <v>376.9</v>
      </c>
      <c r="K3102" s="3" t="inlineStr">
        <is>
          <t>새롬동과 한솔동사이 경사진 단독전용 택지,협의가능</t>
        </is>
      </c>
      <c r="L3102" s="6">
        <f>HYPERLINK("https://fin.land.naver.com/articles/2653031834", "매물Link")</f>
        <v/>
      </c>
      <c r="M3102" s="6">
        <f>HYPERLINK("https://map.naver.com/p/search/한솔동 1135", "지도Link")</f>
        <v/>
      </c>
      <c r="N3102" s="6">
        <f>HYPERLINK("http://www.eum.go.kr/web/ar/lu/luLandDet.jsp?pnu=3611010600111350000&amp;isNoScr=script&amp;mode=search", "토지이음")</f>
        <v/>
      </c>
      <c r="O3102" s="3" t="inlineStr">
        <is>
          <t>세종나라</t>
        </is>
      </c>
      <c r="P3102" s="4" t="n">
        <v>2</v>
      </c>
      <c r="Q3102" s="4" t="n">
        <v>309.9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소로한면</t>
        </is>
      </c>
    </row>
    <row r="3103">
      <c r="A3103" s="3" t="inlineStr">
        <is>
          <t>한솔동 1152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75000</v>
      </c>
      <c r="G3103" s="4" t="n">
        <v>309</v>
      </c>
      <c r="H3103" s="4" t="n">
        <v>93</v>
      </c>
      <c r="I3103" s="5" t="n">
        <v>806.5</v>
      </c>
      <c r="J3103" s="5" t="n">
        <v>376.9</v>
      </c>
      <c r="K3103" s="3" t="inlineStr">
        <is>
          <t>한솔동 인기주택지중 좋은위치의 저렴한 택지로 조율 가능함</t>
        </is>
      </c>
      <c r="L3103" s="6">
        <f>HYPERLINK("https://fin.land.naver.com/articles/2654594075", "매물Link")</f>
        <v/>
      </c>
      <c r="M3103" s="6">
        <f>HYPERLINK("https://map.naver.com/p/search/한솔동 1152", "지도Link")</f>
        <v/>
      </c>
      <c r="N3103" s="6">
        <f>HYPERLINK("http://www.eum.go.kr/web/ar/lu/luLandDet.jsp?pnu=3611010600111520000&amp;isNoScr=script&amp;mode=search", "토지이음")</f>
        <v/>
      </c>
      <c r="O3103" s="3" t="inlineStr">
        <is>
          <t>바로그</t>
        </is>
      </c>
      <c r="P3103" s="4" t="n">
        <v>1</v>
      </c>
      <c r="Q3103" s="4" t="n">
        <v>309.4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세로장방</t>
        </is>
      </c>
      <c r="V3103" s="3" t="inlineStr">
        <is>
          <t>소로한면</t>
        </is>
      </c>
    </row>
    <row r="3104">
      <c r="A3104" s="3" t="inlineStr">
        <is>
          <t>한솔동 1175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90000</v>
      </c>
      <c r="G3104" s="4" t="n">
        <v>407</v>
      </c>
      <c r="H3104" s="4" t="n">
        <v>123</v>
      </c>
      <c r="I3104" s="5" t="n">
        <v>731.7</v>
      </c>
      <c r="J3104" s="5" t="n">
        <v>389.8</v>
      </c>
      <c r="K3104" s="3" t="inlineStr">
        <is>
          <t>nan</t>
        </is>
      </c>
      <c r="L3104" s="6">
        <f>HYPERLINK("https://fin.land.naver.com/articles/2655008691", "매물Link")</f>
        <v/>
      </c>
      <c r="M3104" s="6">
        <f>HYPERLINK("https://map.naver.com/p/search/한솔동 1175", "지도Link")</f>
        <v/>
      </c>
      <c r="N3104" s="6">
        <f>HYPERLINK("http://www.eum.go.kr/web/ar/lu/luLandDet.jsp?pnu=3611010600111750000&amp;isNoScr=script&amp;mode=search", "토지이음")</f>
        <v/>
      </c>
      <c r="O3104" s="3" t="inlineStr">
        <is>
          <t>디아트성심</t>
        </is>
      </c>
      <c r="P3104" s="4" t="n">
        <v>1</v>
      </c>
      <c r="Q3104" s="4" t="n">
        <v>407.1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소로한면</t>
        </is>
      </c>
    </row>
    <row r="3105">
      <c r="A3105" s="3" t="inlineStr">
        <is>
          <t>한솔동 1175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90000</v>
      </c>
      <c r="G3105" s="4" t="n">
        <v>407</v>
      </c>
      <c r="H3105" s="4" t="n">
        <v>123</v>
      </c>
      <c r="I3105" s="5" t="n">
        <v>731.7</v>
      </c>
      <c r="J3105" s="5" t="n">
        <v>389.8</v>
      </c>
      <c r="K3105" s="3" t="inlineStr">
        <is>
          <t>총 123.4p, 새뜸1단지 맞은편</t>
        </is>
      </c>
      <c r="L3105" s="6">
        <f>HYPERLINK("https://fin.land.naver.com/articles/2654232425", "매물Link")</f>
        <v/>
      </c>
      <c r="M3105" s="6">
        <f>HYPERLINK("https://map.naver.com/p/search/한솔동 1175", "지도Link")</f>
        <v/>
      </c>
      <c r="N3105" s="6">
        <f>HYPERLINK("http://www.eum.go.kr/web/ar/lu/luLandDet.jsp?pnu=3611010600111750000&amp;isNoScr=script&amp;mode=search",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407.1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한솔동 1175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90000</v>
      </c>
      <c r="G3106" s="4" t="n">
        <v>407</v>
      </c>
      <c r="H3106" s="4" t="n">
        <v>123</v>
      </c>
      <c r="I3106" s="5" t="n">
        <v>731.7</v>
      </c>
      <c r="J3106" s="5" t="n">
        <v>389.8</v>
      </c>
      <c r="K3106" s="3" t="inlineStr">
        <is>
          <t>넓은 평형 토지매매, 한솔동</t>
        </is>
      </c>
      <c r="L3106" s="6">
        <f>HYPERLINK("https://fin.land.naver.com/articles/2656259971", "매물Link")</f>
        <v/>
      </c>
      <c r="M3106" s="6">
        <f>HYPERLINK("https://map.naver.com/p/search/한솔동 1175", "지도Link")</f>
        <v/>
      </c>
      <c r="N3106" s="6">
        <f>HYPERLINK("http://www.eum.go.kr/web/ar/lu/luLandDet.jsp?pnu=3611010600111750000&amp;isNoScr=script&amp;mode=search", "토지이음")</f>
        <v/>
      </c>
      <c r="O3106" s="3" t="inlineStr">
        <is>
          <t>세종무지개</t>
        </is>
      </c>
      <c r="P3106" s="4" t="n">
        <v>1</v>
      </c>
      <c r="Q3106" s="4" t="n">
        <v>407.1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한솔동 1187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60000</v>
      </c>
      <c r="G3107" s="4" t="n">
        <v>420</v>
      </c>
      <c r="H3107" s="4" t="n">
        <v>127</v>
      </c>
      <c r="I3107" s="5" t="n">
        <v>472.4</v>
      </c>
      <c r="J3107" s="5" t="n">
        <v>391.7</v>
      </c>
      <c r="K3107" s="3" t="inlineStr">
        <is>
          <t>대형평수 코너각지 위치최상 조율협의</t>
        </is>
      </c>
      <c r="L3107" s="6">
        <f>HYPERLINK("https://fin.land.naver.com/articles/2655186672", "매물Link")</f>
        <v/>
      </c>
      <c r="M3107" s="6">
        <f>HYPERLINK("https://map.naver.com/p/search/한솔동 1187", "지도Link")</f>
        <v/>
      </c>
      <c r="N3107" s="6">
        <f>HYPERLINK("http://www.eum.go.kr/web/ar/lu/luLandDet.jsp?pnu=3611010600111870000&amp;isNoScr=script&amp;mode=search", "토지이음")</f>
        <v/>
      </c>
      <c r="O3107" s="3" t="inlineStr">
        <is>
          <t>세종스타</t>
        </is>
      </c>
      <c r="P3107" s="4" t="n">
        <v>2</v>
      </c>
      <c r="Q3107" s="4" t="n">
        <v>420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1193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65000</v>
      </c>
      <c r="G3108" s="4" t="n">
        <v>320</v>
      </c>
      <c r="H3108" s="4" t="n">
        <v>97</v>
      </c>
      <c r="I3108" s="5" t="n">
        <v>670.1</v>
      </c>
      <c r="J3108" s="5" t="n">
        <v>391.7</v>
      </c>
      <c r="K3108" s="3" t="inlineStr">
        <is>
          <t>코너위치좋은한솔동단독택지매매 가격조정가능</t>
        </is>
      </c>
      <c r="L3108" s="6">
        <f>HYPERLINK("https://fin.land.naver.com/articles/2651789377", "매물Link")</f>
        <v/>
      </c>
      <c r="M3108" s="6">
        <f>HYPERLINK("https://map.naver.com/p/search/한솔동 1193", "지도Link")</f>
        <v/>
      </c>
      <c r="N3108" s="6">
        <f>HYPERLINK("http://www.eum.go.kr/web/ar/lu/luLandDet.jsp?pnu=3611010600111930000&amp;isNoScr=script&amp;mode=search", "토지이음")</f>
        <v/>
      </c>
      <c r="O3108" s="3" t="inlineStr">
        <is>
          <t>고운동리치세종</t>
        </is>
      </c>
      <c r="P3108" s="4" t="n">
        <v>2</v>
      </c>
      <c r="Q3108" s="4" t="n">
        <v>320.1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소로각지</t>
        </is>
      </c>
    </row>
    <row r="3109">
      <c r="A3109" s="3" t="inlineStr">
        <is>
          <t>한솔동 1194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49000</v>
      </c>
      <c r="G3109" s="4" t="n">
        <v>335</v>
      </c>
      <c r="H3109" s="4" t="n">
        <v>101</v>
      </c>
      <c r="I3109" s="5" t="n">
        <v>485.1</v>
      </c>
      <c r="J3109" s="5" t="n">
        <v>376.9</v>
      </c>
      <c r="K3109" s="3" t="inlineStr">
        <is>
          <t>급매 추가조율가능 한솔D2 최저가 초중고도보 상권인접</t>
        </is>
      </c>
      <c r="L3109" s="6">
        <f>HYPERLINK("https://fin.land.naver.com/articles/2655177545", "매물Link")</f>
        <v/>
      </c>
      <c r="M3109" s="6">
        <f>HYPERLINK("https://map.naver.com/p/search/한솔동 1194", "지도Link")</f>
        <v/>
      </c>
      <c r="N3109" s="6">
        <f>HYPERLINK("http://www.eum.go.kr/web/ar/lu/luLandDet.jsp?pnu=3611010600111940000&amp;isNoScr=script&amp;mode=search", "토지이음")</f>
        <v/>
      </c>
      <c r="O3109" s="3" t="inlineStr">
        <is>
          <t>세종스타</t>
        </is>
      </c>
      <c r="P3109" s="4" t="n">
        <v>2</v>
      </c>
      <c r="Q3109" s="4" t="n">
        <v>335.4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1194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49000</v>
      </c>
      <c r="G3110" s="4" t="n">
        <v>335</v>
      </c>
      <c r="H3110" s="4" t="n">
        <v>101</v>
      </c>
      <c r="I3110" s="5" t="n">
        <v>485.1</v>
      </c>
      <c r="J3110" s="5" t="n">
        <v>376.9</v>
      </c>
      <c r="K3110" s="3" t="inlineStr">
        <is>
          <t>101p.단독택지.1분거리.학원.마트.초중고.5분.단독주택.전원주택.추천</t>
        </is>
      </c>
      <c r="L3110" s="6">
        <f>HYPERLINK("https://fin.land.naver.com/articles/2654690294", "매물Link")</f>
        <v/>
      </c>
      <c r="M3110" s="6">
        <f>HYPERLINK("https://map.naver.com/p/search/한솔동 1194", "지도Link")</f>
        <v/>
      </c>
      <c r="N3110" s="6">
        <f>HYPERLINK("http://www.eum.go.kr/web/ar/lu/luLandDet.jsp?pnu=3611010600111940000&amp;isNoScr=script&amp;mode=search", "토지이음")</f>
        <v/>
      </c>
      <c r="O3110" s="3" t="inlineStr">
        <is>
          <t>원</t>
        </is>
      </c>
      <c r="P3110" s="4" t="n">
        <v>1</v>
      </c>
      <c r="Q3110" s="4" t="n">
        <v>335.4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1197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75000</v>
      </c>
      <c r="G3111" s="4" t="n">
        <v>320</v>
      </c>
      <c r="H3111" s="4" t="n">
        <v>97</v>
      </c>
      <c r="I3111" s="5" t="n">
        <v>773.2</v>
      </c>
      <c r="J3111" s="5" t="n">
        <v>391.7</v>
      </c>
      <c r="K3111" s="3" t="inlineStr">
        <is>
          <t>공원앞 코너각지토지 97p 답답하지않은 위치</t>
        </is>
      </c>
      <c r="L3111" s="6">
        <f>HYPERLINK("https://fin.land.naver.com/articles/2653171975", "매물Link")</f>
        <v/>
      </c>
      <c r="M3111" s="6">
        <f>HYPERLINK("https://map.naver.com/p/search/한솔동 1197", "지도Link")</f>
        <v/>
      </c>
      <c r="N3111" s="6">
        <f>HYPERLINK("http://www.eum.go.kr/web/ar/lu/luLandDet.jsp?pnu=3611010600111970000&amp;isNoScr=script&amp;mode=search", "토지이음")</f>
        <v/>
      </c>
      <c r="O3111" s="3" t="inlineStr">
        <is>
          <t>세종365</t>
        </is>
      </c>
      <c r="P3111" s="4" t="n">
        <v>1</v>
      </c>
      <c r="Q3111" s="4" t="n">
        <v>320.4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소로각지</t>
        </is>
      </c>
    </row>
    <row r="3112">
      <c r="A3112" s="3" t="inlineStr">
        <is>
          <t>한솔동 1201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60000</v>
      </c>
      <c r="G3112" s="4" t="n">
        <v>294</v>
      </c>
      <c r="H3112" s="4" t="n">
        <v>89</v>
      </c>
      <c r="I3112" s="5" t="n">
        <v>674.2</v>
      </c>
      <c r="J3112" s="5" t="n">
        <v>376.9</v>
      </c>
      <c r="K3112" s="3" t="inlineStr">
        <is>
          <t>위치좋은 단독주택지, 직접보시면 더 좋아요</t>
        </is>
      </c>
      <c r="L3112" s="6">
        <f>HYPERLINK("https://fin.land.naver.com/articles/2654798480", "매물Link")</f>
        <v/>
      </c>
      <c r="M3112" s="6">
        <f>HYPERLINK("https://map.naver.com/p/search/한솔동 1201", "지도Link")</f>
        <v/>
      </c>
      <c r="N3112" s="6">
        <f>HYPERLINK("http://www.eum.go.kr/web/ar/lu/luLandDet.jsp?pnu=3611010600112010000&amp;isNoScr=script&amp;mode=search", "토지이음")</f>
        <v/>
      </c>
      <c r="O3112" s="3" t="inlineStr">
        <is>
          <t>리브</t>
        </is>
      </c>
      <c r="P3112" s="4" t="n">
        <v>1</v>
      </c>
      <c r="Q3112" s="4" t="n">
        <v>294.6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세로장방</t>
        </is>
      </c>
      <c r="V3112" s="3" t="inlineStr">
        <is>
          <t>소로한면</t>
        </is>
      </c>
    </row>
    <row r="3113">
      <c r="A3113" s="3" t="inlineStr">
        <is>
          <t>한솔동 1207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50000</v>
      </c>
      <c r="G3113" s="4" t="n">
        <v>329</v>
      </c>
      <c r="H3113" s="4" t="n">
        <v>100</v>
      </c>
      <c r="I3113" s="5" t="n">
        <v>500</v>
      </c>
      <c r="J3113" s="5" t="n">
        <v>376.9</v>
      </c>
      <c r="K3113" s="3" t="inlineStr">
        <is>
          <t>네모 반듯한 예쁜 토지 매매, 입지 굿</t>
        </is>
      </c>
      <c r="L3113" s="6">
        <f>HYPERLINK("https://fin.land.naver.com/articles/2650893847", "매물Link")</f>
        <v/>
      </c>
      <c r="M3113" s="6">
        <f>HYPERLINK("https://map.naver.com/p/search/한솔동 1207", "지도Link")</f>
        <v/>
      </c>
      <c r="N3113" s="6">
        <f>HYPERLINK("http://www.eum.go.kr/web/ar/lu/luLandDet.jsp?pnu=3611010600112070000&amp;isNoScr=script&amp;mode=search", "토지이음")</f>
        <v/>
      </c>
      <c r="O3113" s="3" t="inlineStr">
        <is>
          <t>세종무지개</t>
        </is>
      </c>
      <c r="P3113" s="4" t="n">
        <v>1</v>
      </c>
      <c r="Q3113" s="4" t="n">
        <v>329.5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소로한면</t>
        </is>
      </c>
    </row>
    <row r="3114">
      <c r="A3114" s="3" t="inlineStr">
        <is>
          <t>한솔동 1207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50000</v>
      </c>
      <c r="G3114" s="4" t="n">
        <v>329</v>
      </c>
      <c r="H3114" s="4" t="n">
        <v>100</v>
      </c>
      <c r="I3114" s="5" t="n">
        <v>500</v>
      </c>
      <c r="J3114" s="5" t="n">
        <v>376.9</v>
      </c>
      <c r="K3114" s="3" t="inlineStr">
        <is>
          <t>총 99.8p, 조율가능, 네모반듯한 남향 예쁜 토지</t>
        </is>
      </c>
      <c r="L3114" s="6">
        <f>HYPERLINK("https://fin.land.naver.com/articles/2651947606", "매물Link")</f>
        <v/>
      </c>
      <c r="M3114" s="6">
        <f>HYPERLINK("https://map.naver.com/p/search/한솔동 1207", "지도Link")</f>
        <v/>
      </c>
      <c r="N3114" s="6">
        <f>HYPERLINK("http://www.eum.go.kr/web/ar/lu/luLandDet.jsp?pnu=3611010600112070000&amp;isNoScr=script&amp;mode=search", "토지이음")</f>
        <v/>
      </c>
      <c r="O3114" s="3" t="inlineStr">
        <is>
          <t>명진</t>
        </is>
      </c>
      <c r="P3114" s="4" t="n">
        <v>1</v>
      </c>
      <c r="Q3114" s="4" t="n">
        <v>329.5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1208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45000</v>
      </c>
      <c r="G3115" s="4" t="n">
        <v>299</v>
      </c>
      <c r="H3115" s="4" t="n">
        <v>90</v>
      </c>
      <c r="I3115" s="5" t="n">
        <v>500</v>
      </c>
      <c r="J3115" s="5" t="n">
        <v>376.9</v>
      </c>
      <c r="K3115" s="3" t="inlineStr">
        <is>
          <t>nan</t>
        </is>
      </c>
      <c r="L3115" s="6">
        <f>HYPERLINK("https://fin.land.naver.com/articles/2654337391", "매물Link")</f>
        <v/>
      </c>
      <c r="M3115" s="6">
        <f>HYPERLINK("https://map.naver.com/p/search/한솔동 1208", "지도Link")</f>
        <v/>
      </c>
      <c r="N3115" s="6">
        <f>HYPERLINK("http://www.eum.go.kr/web/ar/lu/luLandDet.jsp?pnu=3611010600112080000&amp;isNoScr=script&amp;mode=search", "토지이음")</f>
        <v/>
      </c>
      <c r="O3115" s="3" t="inlineStr">
        <is>
          <t>봄마중</t>
        </is>
      </c>
      <c r="P3115" s="4" t="n">
        <v>1</v>
      </c>
      <c r="Q3115" s="4" t="n">
        <v>299.8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1211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39000</v>
      </c>
      <c r="G3116" s="4" t="n">
        <v>323</v>
      </c>
      <c r="H3116" s="4" t="n">
        <v>98</v>
      </c>
      <c r="I3116" s="5" t="n">
        <v>398</v>
      </c>
      <c r="J3116" s="5" t="n">
        <v>373.6</v>
      </c>
      <c r="K3116" s="3" t="inlineStr">
        <is>
          <t>생활편리한 한솔동 단독주택지입니다.</t>
        </is>
      </c>
      <c r="L3116" s="6">
        <f>HYPERLINK("https://fin.land.naver.com/articles/2655008964", "매물Link")</f>
        <v/>
      </c>
      <c r="M3116" s="6">
        <f>HYPERLINK("https://map.naver.com/p/search/한솔동 1211", "지도Link")</f>
        <v/>
      </c>
      <c r="N3116" s="6">
        <f>HYPERLINK("http://www.eum.go.kr/web/ar/lu/luLandDet.jsp?pnu=3611010600112110000&amp;isNoScr=script&amp;mode=search", "토지이음")</f>
        <v/>
      </c>
      <c r="O3116" s="3" t="inlineStr">
        <is>
          <t>디아트성심</t>
        </is>
      </c>
      <c r="P3116" s="4" t="n">
        <v>1</v>
      </c>
      <c r="Q3116" s="4" t="n">
        <v>323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정방형</t>
        </is>
      </c>
      <c r="V3116" s="3" t="inlineStr">
        <is>
          <t>소로한면</t>
        </is>
      </c>
    </row>
    <row r="3117">
      <c r="A3117" s="3" t="inlineStr">
        <is>
          <t>한솔동 865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80000</v>
      </c>
      <c r="G3117" s="4" t="n">
        <v>352</v>
      </c>
      <c r="H3117" s="4" t="n">
        <v>106</v>
      </c>
      <c r="I3117" s="5" t="n">
        <v>754.7</v>
      </c>
      <c r="J3117" s="5" t="n">
        <v>403</v>
      </c>
      <c r="K3117" s="3" t="inlineStr">
        <is>
          <t>공원 인근, 조용한고 편리한 단독주택지 토지매매</t>
        </is>
      </c>
      <c r="L3117" s="6">
        <f>HYPERLINK("https://fin.land.naver.com/articles/2656263615", "매물Link")</f>
        <v/>
      </c>
      <c r="M3117" s="6">
        <f>HYPERLINK("https://map.naver.com/p/search/한솔동 865", "지도Link")</f>
        <v/>
      </c>
      <c r="N3117" s="6">
        <f>HYPERLINK("http://www.eum.go.kr/web/ar/lu/luLandDet.jsp?pnu=3611010600108650000&amp;isNoScr=script&amp;mode=search", "토지이음")</f>
        <v/>
      </c>
      <c r="O3117" s="3" t="inlineStr">
        <is>
          <t>세종무지개</t>
        </is>
      </c>
      <c r="P3117" s="4" t="n">
        <v>1</v>
      </c>
      <c r="Q3117" s="4" t="n">
        <v>353.4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소로한면</t>
        </is>
      </c>
    </row>
    <row r="3118">
      <c r="A3118" s="3" t="inlineStr">
        <is>
          <t>한솔동 865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353</v>
      </c>
      <c r="H3118" s="4" t="n">
        <v>107</v>
      </c>
      <c r="I3118" s="5" t="n">
        <v>747.7</v>
      </c>
      <c r="J3118" s="5" t="n">
        <v>403</v>
      </c>
      <c r="K3118" s="3" t="inlineStr">
        <is>
          <t>nan</t>
        </is>
      </c>
      <c r="L3118" s="6">
        <f>HYPERLINK("https://fin.land.naver.com/articles/2655007350", "매물Link")</f>
        <v/>
      </c>
      <c r="M3118" s="6">
        <f>HYPERLINK("https://map.naver.com/p/search/한솔동 865", "지도Link")</f>
        <v/>
      </c>
      <c r="N3118" s="6">
        <f>HYPERLINK("http://www.eum.go.kr/web/ar/lu/luLandDet.jsp?pnu=3611010600108650000&amp;isNoScr=script&amp;mode=search", "토지이음")</f>
        <v/>
      </c>
      <c r="O3118" s="3" t="inlineStr">
        <is>
          <t>디아트성심</t>
        </is>
      </c>
      <c r="P3118" s="4" t="n">
        <v>1</v>
      </c>
      <c r="Q3118" s="4" t="n">
        <v>353.4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소로한면</t>
        </is>
      </c>
    </row>
    <row r="3119">
      <c r="A3119" s="3" t="inlineStr">
        <is>
          <t>한솔동 865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353</v>
      </c>
      <c r="H3119" s="4" t="n">
        <v>107</v>
      </c>
      <c r="I3119" s="5" t="n">
        <v>747.7</v>
      </c>
      <c r="J3119" s="5" t="n">
        <v>403</v>
      </c>
      <c r="K3119" s="3" t="inlineStr">
        <is>
          <t>세종시 한솔동 도심속 전원주택부지 매매</t>
        </is>
      </c>
      <c r="L3119" s="6">
        <f>HYPERLINK("https://fin.land.naver.com/articles/2651763249", "매물Link")</f>
        <v/>
      </c>
      <c r="M3119" s="6">
        <f>HYPERLINK("https://map.naver.com/p/search/한솔동 865", "지도Link")</f>
        <v/>
      </c>
      <c r="N3119" s="6">
        <f>HYPERLINK("http://www.eum.go.kr/web/ar/lu/luLandDet.jsp?pnu=3611010600108650000&amp;isNoScr=script&amp;mode=search", "토지이음")</f>
        <v/>
      </c>
      <c r="O3119" s="3" t="inlineStr">
        <is>
          <t>전원</t>
        </is>
      </c>
      <c r="P3119" s="4" t="n">
        <v>2</v>
      </c>
      <c r="Q3119" s="4" t="n">
        <v>353.4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한솔동 865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353</v>
      </c>
      <c r="H3120" s="4" t="n">
        <v>107</v>
      </c>
      <c r="I3120" s="5" t="n">
        <v>747.7</v>
      </c>
      <c r="J3120" s="5" t="n">
        <v>403</v>
      </c>
      <c r="K3120" s="3" t="inlineStr">
        <is>
          <t>총 107.1p, 한솔동 단독주택지</t>
        </is>
      </c>
      <c r="L3120" s="6">
        <f>HYPERLINK("https://fin.land.naver.com/articles/2653682654", "매물Link")</f>
        <v/>
      </c>
      <c r="M3120" s="6">
        <f>HYPERLINK("https://map.naver.com/p/search/한솔동 865", "지도Link")</f>
        <v/>
      </c>
      <c r="N3120" s="6">
        <f>HYPERLINK("http://www.eum.go.kr/web/ar/lu/luLandDet.jsp?pnu=3611010600108650000&amp;isNoScr=script&amp;mode=search", "토지이음")</f>
        <v/>
      </c>
      <c r="O3120" s="3" t="inlineStr">
        <is>
          <t>명진</t>
        </is>
      </c>
      <c r="P3120" s="4" t="n">
        <v>1</v>
      </c>
      <c r="Q3120" s="4" t="n">
        <v>353.4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사다리형</t>
        </is>
      </c>
      <c r="V3120" s="3" t="inlineStr">
        <is>
          <t>소로한면</t>
        </is>
      </c>
    </row>
    <row r="3121">
      <c r="A3121" s="3" t="inlineStr">
        <is>
          <t>한솔동 874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62000</v>
      </c>
      <c r="G3121" s="4" t="n">
        <v>304</v>
      </c>
      <c r="H3121" s="4" t="n">
        <v>92</v>
      </c>
      <c r="I3121" s="5" t="n">
        <v>673.9</v>
      </c>
      <c r="J3121" s="5" t="n">
        <v>394.7</v>
      </c>
      <c r="K3121" s="3" t="inlineStr">
        <is>
          <t>nan</t>
        </is>
      </c>
      <c r="L3121" s="6">
        <f>HYPERLINK("https://fin.land.naver.com/articles/2655009445", "매물Link")</f>
        <v/>
      </c>
      <c r="M3121" s="6">
        <f>HYPERLINK("https://map.naver.com/p/search/한솔동 874", "지도Link")</f>
        <v/>
      </c>
      <c r="N3121" s="6">
        <f>HYPERLINK("http://www.eum.go.kr/web/ar/lu/luLandDet.jsp?pnu=3611010600108740000&amp;isNoScr=script&amp;mode=search", "토지이음")</f>
        <v/>
      </c>
      <c r="O3121" s="3" t="inlineStr">
        <is>
          <t>디아트성심</t>
        </is>
      </c>
      <c r="P3121" s="4" t="n">
        <v>1</v>
      </c>
      <c r="Q3121" s="4" t="n">
        <v>325.8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소로한면</t>
        </is>
      </c>
    </row>
    <row r="3122">
      <c r="A3122" s="3" t="inlineStr">
        <is>
          <t>한솔동 877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61000</v>
      </c>
      <c r="G3122" s="4" t="n">
        <v>326</v>
      </c>
      <c r="H3122" s="4" t="n">
        <v>99</v>
      </c>
      <c r="I3122" s="5" t="n">
        <v>616.2</v>
      </c>
      <c r="J3122" s="5" t="n">
        <v>394.7</v>
      </c>
      <c r="K3122" s="3" t="inlineStr">
        <is>
          <t>nan</t>
        </is>
      </c>
      <c r="L3122" s="6">
        <f>HYPERLINK("https://fin.land.naver.com/articles/2655011453", "매물Link")</f>
        <v/>
      </c>
      <c r="M3122" s="6">
        <f>HYPERLINK("https://map.naver.com/p/search/한솔동 877", "지도Link")</f>
        <v/>
      </c>
      <c r="N3122" s="6">
        <f>HYPERLINK("http://www.eum.go.kr/web/ar/lu/luLandDet.jsp?pnu=3611010600108770000&amp;isNoScr=script&amp;mode=search", "토지이음")</f>
        <v/>
      </c>
      <c r="O3122" s="3" t="inlineStr">
        <is>
          <t>디아트성심</t>
        </is>
      </c>
      <c r="P3122" s="4" t="n">
        <v>1</v>
      </c>
      <c r="Q3122" s="4" t="n">
        <v>326.5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소로한면</t>
        </is>
      </c>
    </row>
    <row r="3123">
      <c r="A3123" s="3" t="inlineStr">
        <is>
          <t>한솔동 885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57000</v>
      </c>
      <c r="G3123" s="4" t="n">
        <v>292</v>
      </c>
      <c r="H3123" s="4" t="n">
        <v>88</v>
      </c>
      <c r="I3123" s="5" t="n">
        <v>647.7</v>
      </c>
      <c r="J3123" s="5" t="n">
        <v>410.9</v>
      </c>
      <c r="K3123" s="3" t="inlineStr">
        <is>
          <t>D1 귀한매물 새롬동학원가도보 조율가능</t>
        </is>
      </c>
      <c r="L3123" s="6">
        <f>HYPERLINK("https://fin.land.naver.com/articles/2652410283", "매물Link")</f>
        <v/>
      </c>
      <c r="M3123" s="6">
        <f>HYPERLINK("https://map.naver.com/p/search/한솔동 885", "지도Link")</f>
        <v/>
      </c>
      <c r="N3123" s="6">
        <f>HYPERLINK("http://www.eum.go.kr/web/ar/lu/luLandDet.jsp?pnu=3611010600108850000&amp;isNoScr=script&amp;mode=search", "토지이음")</f>
        <v/>
      </c>
      <c r="O3123" s="3" t="inlineStr">
        <is>
          <t>세종스타</t>
        </is>
      </c>
      <c r="P3123" s="4" t="n">
        <v>1</v>
      </c>
      <c r="Q3123" s="4" t="n">
        <v>292.2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967</t>
        </is>
      </c>
      <c r="B3124" s="3" t="inlineStr">
        <is>
          <t>준주거지역</t>
        </is>
      </c>
      <c r="C3124" s="3" t="inlineStr">
        <is>
          <t>주차장</t>
        </is>
      </c>
      <c r="D3124" s="3" t="inlineStr">
        <is>
          <t>주차장</t>
        </is>
      </c>
      <c r="E3124" s="3" t="inlineStr">
        <is>
          <t>매매</t>
        </is>
      </c>
      <c r="F3124" s="4" t="n">
        <v>580000</v>
      </c>
      <c r="G3124" s="4" t="n">
        <v>1407</v>
      </c>
      <c r="H3124" s="4" t="n">
        <v>426</v>
      </c>
      <c r="I3124" s="5" t="n">
        <v>1361.5</v>
      </c>
      <c r="J3124" s="5" t="n">
        <v>741.2</v>
      </c>
      <c r="K3124" s="3" t="inlineStr">
        <is>
          <t>세종 첫마을 넓은 주차장으로 대형마트나 고급 식당 사옥 추천 드립니다</t>
        </is>
      </c>
      <c r="L3124" s="6">
        <f>HYPERLINK("https://fin.land.naver.com/articles/2652035481", "매물Link")</f>
        <v/>
      </c>
      <c r="M3124" s="6">
        <f>HYPERLINK("https://map.naver.com/p/search/한솔동 967", "지도Link")</f>
        <v/>
      </c>
      <c r="N3124" s="6">
        <f>HYPERLINK("http://www.eum.go.kr/web/ar/lu/luLandDet.jsp?pnu=3611010600109670000&amp;isNoScr=script&amp;mode=search", "토지이음")</f>
        <v/>
      </c>
      <c r="O3124" s="3" t="inlineStr">
        <is>
          <t>자이행복</t>
        </is>
      </c>
      <c r="P3124" s="4" t="n">
        <v>1</v>
      </c>
      <c r="Q3124" s="4" t="n">
        <v>1407</v>
      </c>
      <c r="R3124" s="3" t="inlineStr">
        <is>
          <t>지정되지않음</t>
        </is>
      </c>
      <c r="S3124" s="3" t="inlineStr">
        <is>
          <t>주차장등</t>
        </is>
      </c>
      <c r="T3124" s="3" t="inlineStr">
        <is>
          <t>평지</t>
        </is>
      </c>
      <c r="U3124" s="3" t="inlineStr">
        <is>
          <t>가로장방</t>
        </is>
      </c>
      <c r="V3124" s="3" t="inlineStr">
        <is>
          <t>중로한면</t>
        </is>
      </c>
    </row>
    <row r="3125">
      <c r="A3125" s="3" t="inlineStr">
        <is>
          <t>한솔동 989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55000</v>
      </c>
      <c r="G3125" s="4" t="n">
        <v>326</v>
      </c>
      <c r="H3125" s="4" t="n">
        <v>99</v>
      </c>
      <c r="I3125" s="5" t="n">
        <v>555.6</v>
      </c>
      <c r="J3125" s="5" t="n">
        <v>302.8</v>
      </c>
      <c r="K3125" s="3" t="inlineStr">
        <is>
          <t>생활 인프라가 완비된 2생활권 내 희소성 높은 알짜 토지.</t>
        </is>
      </c>
      <c r="L3125" s="6">
        <f>HYPERLINK("https://fin.land.naver.com/articles/2654570640", "매물Link")</f>
        <v/>
      </c>
      <c r="M3125" s="6">
        <f>HYPERLINK("https://map.naver.com/p/search/한솔동 989", "지도Link")</f>
        <v/>
      </c>
      <c r="N3125" s="6">
        <f>HYPERLINK("http://www.eum.go.kr/web/ar/lu/luLandDet.jsp?pnu=3611010600109890000&amp;isNoScr=script&amp;mode=search", "토지이음")</f>
        <v/>
      </c>
      <c r="O3125" s="3" t="inlineStr">
        <is>
          <t>이룸</t>
        </is>
      </c>
      <c r="P3125" s="4" t="n">
        <v>1</v>
      </c>
      <c r="Q3125" s="4" t="n">
        <v>326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한솔동 992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55000</v>
      </c>
      <c r="G3126" s="4" t="n">
        <v>355</v>
      </c>
      <c r="H3126" s="4" t="n">
        <v>107</v>
      </c>
      <c r="I3126" s="5" t="n">
        <v>514</v>
      </c>
      <c r="J3126" s="5" t="n">
        <v>314.9</v>
      </c>
      <c r="K3126" s="3" t="inlineStr">
        <is>
          <t>조율가능 공원낀위치 상권최인접 한솔초중고 도보5분</t>
        </is>
      </c>
      <c r="L3126" s="6">
        <f>HYPERLINK("https://fin.land.naver.com/articles/2653667235", "매물Link")</f>
        <v/>
      </c>
      <c r="M3126" s="6">
        <f>HYPERLINK("https://map.naver.com/p/search/한솔동 992", "지도Link")</f>
        <v/>
      </c>
      <c r="N3126" s="6">
        <f>HYPERLINK("http://www.eum.go.kr/web/ar/lu/luLandDet.jsp?pnu=3611010600109920000&amp;isNoScr=script&amp;mode=search", "토지이음")</f>
        <v/>
      </c>
      <c r="O3126" s="3" t="inlineStr">
        <is>
          <t>세종스타</t>
        </is>
      </c>
      <c r="P3126" s="4" t="n">
        <v>1</v>
      </c>
      <c r="Q3126" s="4" t="n">
        <v>355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소로각지</t>
        </is>
      </c>
    </row>
    <row r="3127">
      <c r="A3127" s="3" t="inlineStr">
        <is>
          <t>해밀동 668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360000</v>
      </c>
      <c r="G3127" s="4" t="n">
        <v>1070</v>
      </c>
      <c r="H3127" s="4" t="n">
        <v>324</v>
      </c>
      <c r="I3127" s="5" t="n">
        <v>1111.1</v>
      </c>
      <c r="J3127" s="5" t="n">
        <v>407.6</v>
      </c>
      <c r="K3127" s="3" t="inlineStr">
        <is>
          <t>급매 대형 상가건물 부지 추가조율협의 옆필지도 매매가능</t>
        </is>
      </c>
      <c r="L3127" s="6">
        <f>HYPERLINK("https://fin.land.naver.com/articles/2656025921", "매물Link")</f>
        <v/>
      </c>
      <c r="M3127" s="6">
        <f>HYPERLINK("https://map.naver.com/p/search/해밀동 668", "지도Link")</f>
        <v/>
      </c>
      <c r="N3127" s="6">
        <f>HYPERLINK("http://www.eum.go.kr/web/ar/lu/luLandDet.jsp?pnu=3611011600106680000&amp;isNoScr=script&amp;mode=search", "토지이음")</f>
        <v/>
      </c>
      <c r="O3127" s="3" t="inlineStr">
        <is>
          <t>세종스타</t>
        </is>
      </c>
      <c r="P3127" s="4" t="n">
        <v>1</v>
      </c>
      <c r="Q3127" s="4" t="n">
        <v>1070.9</v>
      </c>
      <c r="R3127" s="3" t="inlineStr">
        <is>
          <t>지정되지않음</t>
        </is>
      </c>
      <c r="S3127" s="3" t="inlineStr">
        <is>
          <t>상업나지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광대소각</t>
        </is>
      </c>
    </row>
    <row r="3128">
      <c r="A3128" s="3" t="inlineStr">
        <is>
          <t>해밀동 678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155000</v>
      </c>
      <c r="G3128" s="4" t="n">
        <v>446</v>
      </c>
      <c r="H3128" s="4" t="n">
        <v>135</v>
      </c>
      <c r="I3128" s="5" t="n">
        <v>1148.1</v>
      </c>
      <c r="J3128" s="5" t="n">
        <v>379.2</v>
      </c>
      <c r="K3128" s="3" t="inlineStr">
        <is>
          <t>조율가능 N4 코너각지 3층건축가능 사옥 음식점 카페 애견샵 추천</t>
        </is>
      </c>
      <c r="L3128" s="6">
        <f>HYPERLINK("https://fin.land.naver.com/articles/2652136712", "매물Link")</f>
        <v/>
      </c>
      <c r="M3128" s="6">
        <f>HYPERLINK("https://map.naver.com/p/search/해밀동 678", "지도Link")</f>
        <v/>
      </c>
      <c r="N3128" s="6">
        <f>HYPERLINK("http://www.eum.go.kr/web/ar/lu/luLandDet.jsp?pnu=3611011600106780000&amp;isNoScr=script&amp;mode=search", "토지이음")</f>
        <v/>
      </c>
      <c r="O3128" s="3" t="inlineStr">
        <is>
          <t>세종스타</t>
        </is>
      </c>
      <c r="P3128" s="4" t="n">
        <v>1</v>
      </c>
      <c r="Q3128" s="4" t="n">
        <v>446.4</v>
      </c>
      <c r="R3128" s="3" t="inlineStr">
        <is>
          <t>지정되지않음</t>
        </is>
      </c>
      <c r="S3128" s="3" t="inlineStr">
        <is>
          <t>상업나지</t>
        </is>
      </c>
      <c r="T3128" s="3" t="inlineStr">
        <is>
          <t>평지</t>
        </is>
      </c>
      <c r="U3128" s="3" t="inlineStr">
        <is>
          <t>사다리형</t>
        </is>
      </c>
      <c r="V3128" s="3" t="inlineStr">
        <is>
          <t>중로한면</t>
        </is>
      </c>
    </row>
    <row r="3129">
      <c r="A3129" s="3" t="inlineStr">
        <is>
          <t>해밀동 687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145000</v>
      </c>
      <c r="G3129" s="4" t="n">
        <v>403</v>
      </c>
      <c r="H3129" s="4" t="n">
        <v>122</v>
      </c>
      <c r="I3129" s="5" t="n">
        <v>1188.5</v>
      </c>
      <c r="J3129" s="5" t="n">
        <v>383.1</v>
      </c>
      <c r="K3129" s="3" t="inlineStr">
        <is>
          <t>N5 근생부지 3층건축가능</t>
        </is>
      </c>
      <c r="L3129" s="6">
        <f>HYPERLINK("https://fin.land.naver.com/articles/2653666438", "매물Link")</f>
        <v/>
      </c>
      <c r="M3129" s="6">
        <f>HYPERLINK("https://map.naver.com/p/search/해밀동 687", "지도Link")</f>
        <v/>
      </c>
      <c r="N3129" s="6">
        <f>HYPERLINK("http://www.eum.go.kr/web/ar/lu/luLandDet.jsp?pnu=3611011600106870000&amp;isNoScr=script&amp;mode=search", "토지이음")</f>
        <v/>
      </c>
      <c r="O3129" s="3" t="inlineStr">
        <is>
          <t>세종스타</t>
        </is>
      </c>
      <c r="P3129" s="4" t="n">
        <v>1</v>
      </c>
      <c r="Q3129" s="4" t="n">
        <v>403.2</v>
      </c>
      <c r="R3129" s="3" t="inlineStr">
        <is>
          <t>지정되지않음</t>
        </is>
      </c>
      <c r="S3129" s="3" t="inlineStr">
        <is>
          <t>상업나지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중로한면</t>
        </is>
      </c>
    </row>
    <row r="3130">
      <c r="A3130" s="3" t="inlineStr">
        <is>
          <t>해밀동 700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401300</v>
      </c>
      <c r="G3130" s="4" t="n">
        <v>2949</v>
      </c>
      <c r="H3130" s="4" t="n">
        <v>892</v>
      </c>
      <c r="I3130" s="5" t="n">
        <v>449.9</v>
      </c>
      <c r="J3130" s="5" t="n">
        <v>219.8</v>
      </c>
      <c r="K3130" s="3" t="inlineStr">
        <is>
          <t>해밀동 제1종전용주거 타운하우스 부지, 15가구 개발가능</t>
        </is>
      </c>
      <c r="L3130" s="6">
        <f>HYPERLINK("https://fin.land.naver.com/articles/2654022827", "매물Link")</f>
        <v/>
      </c>
      <c r="M3130" s="6">
        <f>HYPERLINK("https://map.naver.com/p/search/해밀동 700", "지도Link")</f>
        <v/>
      </c>
      <c r="N3130" s="6">
        <f>HYPERLINK("http://www.eum.go.kr/web/ar/lu/luLandDet.jsp?pnu=3611011600107000000&amp;isNoScr=script&amp;mode=search", "토지이음")</f>
        <v/>
      </c>
      <c r="O3130" s="3" t="inlineStr">
        <is>
          <t>스카이</t>
        </is>
      </c>
      <c r="P3130" s="4" t="n">
        <v>1</v>
      </c>
      <c r="Q3130" s="4" t="n">
        <v>2948.1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해밀동 702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431600</v>
      </c>
      <c r="G3131" s="4" t="n">
        <v>3170</v>
      </c>
      <c r="H3131" s="4" t="n">
        <v>959</v>
      </c>
      <c r="I3131" s="5" t="n">
        <v>450.1</v>
      </c>
      <c r="J3131" s="5" t="n">
        <v>219.8</v>
      </c>
      <c r="K3131" s="3" t="inlineStr">
        <is>
          <t>세종시 해밀동 토지 매매 숲속 타운하우스 15가구 부지 대지 3,170㎡</t>
        </is>
      </c>
      <c r="L3131" s="6">
        <f>HYPERLINK("https://fin.land.naver.com/articles/2651744353", "매물Link")</f>
        <v/>
      </c>
      <c r="M3131" s="6">
        <f>HYPERLINK("https://map.naver.com/p/search/해밀동 702", "지도Link")</f>
        <v/>
      </c>
      <c r="N3131" s="6">
        <f>HYPERLINK("http://www.eum.go.kr/web/ar/lu/luLandDet.jsp?pnu=3611011600107020000&amp;isNoScr=script&amp;mode=search", "토지이음")</f>
        <v/>
      </c>
      <c r="O3131" s="3" t="inlineStr">
        <is>
          <t>세종</t>
        </is>
      </c>
      <c r="P3131" s="4" t="n">
        <v>1</v>
      </c>
      <c r="Q3131" s="4" t="n">
        <v>3170.9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해밀동 704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289</v>
      </c>
      <c r="H3132" s="4" t="n">
        <v>87</v>
      </c>
      <c r="I3132" s="5" t="n">
        <v>689.7</v>
      </c>
      <c r="J3132" s="5" t="n">
        <v>241.1</v>
      </c>
      <c r="K3132" s="3" t="inlineStr">
        <is>
          <t>조율가능 지대높음 원수산뷰 학교,상가 가까움</t>
        </is>
      </c>
      <c r="L3132" s="6">
        <f>HYPERLINK("https://fin.land.naver.com/articles/2652136537", "매물Link")</f>
        <v/>
      </c>
      <c r="M3132" s="6">
        <f>HYPERLINK("https://map.naver.com/p/search/해밀동 704", "지도Link")</f>
        <v/>
      </c>
      <c r="N3132" s="6">
        <f>HYPERLINK("http://www.eum.go.kr/web/ar/lu/luLandDet.jsp?pnu=3611011600107040000&amp;isNoScr=script&amp;mode=search", "토지이음")</f>
        <v/>
      </c>
      <c r="O3132" s="3" t="inlineStr">
        <is>
          <t>세종스타</t>
        </is>
      </c>
      <c r="P3132" s="4" t="n">
        <v>1</v>
      </c>
      <c r="Q3132" s="4" t="n">
        <v>289.4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해밀동 713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58000</v>
      </c>
      <c r="G3133" s="4" t="n">
        <v>324</v>
      </c>
      <c r="H3133" s="4" t="n">
        <v>98</v>
      </c>
      <c r="I3133" s="5" t="n">
        <v>591.8</v>
      </c>
      <c r="J3133" s="5" t="n">
        <v>241.1</v>
      </c>
      <c r="K3133" s="3" t="inlineStr">
        <is>
          <t>98.18p, 해밀동 네모 반듯한 단독주택 토지매매</t>
        </is>
      </c>
      <c r="L3133" s="6">
        <f>HYPERLINK("https://fin.land.naver.com/articles/2654925092", "매물Link")</f>
        <v/>
      </c>
      <c r="M3133" s="6">
        <f>HYPERLINK("https://map.naver.com/p/search/해밀동 713", "지도Link")</f>
        <v/>
      </c>
      <c r="N3133" s="6">
        <f>HYPERLINK("http://www.eum.go.kr/web/ar/lu/luLandDet.jsp?pnu=3611011600107130000&amp;isNoScr=script&amp;mode=search", "토지이음")</f>
        <v/>
      </c>
      <c r="O3133" s="3" t="inlineStr">
        <is>
          <t>명진</t>
        </is>
      </c>
      <c r="P3133" s="4" t="n">
        <v>1</v>
      </c>
      <c r="Q3133" s="4" t="n">
        <v>324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정방형</t>
        </is>
      </c>
      <c r="V3133" s="3" t="inlineStr">
        <is>
          <t>소로한면</t>
        </is>
      </c>
    </row>
    <row r="3134">
      <c r="A3134" s="3" t="inlineStr">
        <is>
          <t>해밀동 713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58000</v>
      </c>
      <c r="G3134" s="4" t="n">
        <v>324</v>
      </c>
      <c r="H3134" s="4" t="n">
        <v>98</v>
      </c>
      <c r="I3134" s="5" t="n">
        <v>591.8</v>
      </c>
      <c r="J3134" s="5" t="n">
        <v>241.1</v>
      </c>
      <c r="K3134" s="3" t="inlineStr">
        <is>
          <t>조율가능 남동향 트인위치 땅모양 좋음</t>
        </is>
      </c>
      <c r="L3134" s="6">
        <f>HYPERLINK("https://fin.land.naver.com/articles/2655182096", "매물Link")</f>
        <v/>
      </c>
      <c r="M3134" s="6">
        <f>HYPERLINK("https://map.naver.com/p/search/해밀동 713", "지도Link")</f>
        <v/>
      </c>
      <c r="N3134" s="6">
        <f>HYPERLINK("http://www.eum.go.kr/web/ar/lu/luLandDet.jsp?pnu=3611011600107130000&amp;isNoScr=script&amp;mode=search", "토지이음")</f>
        <v/>
      </c>
      <c r="O3134" s="3" t="inlineStr">
        <is>
          <t>세종스타</t>
        </is>
      </c>
      <c r="P3134" s="4" t="n">
        <v>1</v>
      </c>
      <c r="Q3134" s="4" t="n">
        <v>324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정방형</t>
        </is>
      </c>
      <c r="V3134" s="3" t="inlineStr">
        <is>
          <t>소로한면</t>
        </is>
      </c>
    </row>
    <row r="3135">
      <c r="A3135" s="3" t="inlineStr">
        <is>
          <t>해밀동 756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57000</v>
      </c>
      <c r="G3135" s="4" t="n">
        <v>326</v>
      </c>
      <c r="H3135" s="4" t="n">
        <v>99</v>
      </c>
      <c r="I3135" s="5" t="n">
        <v>575.8</v>
      </c>
      <c r="J3135" s="5" t="n">
        <v>241.1</v>
      </c>
      <c r="K3135" s="3" t="inlineStr">
        <is>
          <t>3면이 보행자 전용도로를 접한 쾌적한 토지</t>
        </is>
      </c>
      <c r="L3135" s="6">
        <f>HYPERLINK("https://fin.land.naver.com/articles/2656263810", "매물Link")</f>
        <v/>
      </c>
      <c r="M3135" s="6">
        <f>HYPERLINK("https://map.naver.com/p/search/해밀동 756", "지도Link")</f>
        <v/>
      </c>
      <c r="N3135" s="6">
        <f>HYPERLINK("http://www.eum.go.kr/web/ar/lu/luLandDet.jsp?pnu=3611011600107560000&amp;isNoScr=script&amp;mode=search", "토지이음")</f>
        <v/>
      </c>
      <c r="O3135" s="3" t="inlineStr">
        <is>
          <t>킹세종</t>
        </is>
      </c>
      <c r="P3135" s="4" t="n">
        <v>2</v>
      </c>
      <c r="Q3135" s="4" t="n">
        <v>326.4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소로한면</t>
        </is>
      </c>
    </row>
    <row r="3136">
      <c r="A3136" s="3" t="inlineStr">
        <is>
          <t>해밀동 767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55000</v>
      </c>
      <c r="G3136" s="4" t="n">
        <v>287</v>
      </c>
      <c r="H3136" s="4" t="n">
        <v>87</v>
      </c>
      <c r="I3136" s="5" t="n">
        <v>632.2</v>
      </c>
      <c r="J3136" s="5" t="n">
        <v>241.1</v>
      </c>
      <c r="K3136" s="3" t="inlineStr">
        <is>
          <t>남향 보행로접함 뒷편 공원조망 조율가능</t>
        </is>
      </c>
      <c r="L3136" s="6">
        <f>HYPERLINK("https://fin.land.naver.com/articles/2656122993", "매물Link")</f>
        <v/>
      </c>
      <c r="M3136" s="6">
        <f>HYPERLINK("https://map.naver.com/p/search/해밀동 767", "지도Link")</f>
        <v/>
      </c>
      <c r="N3136" s="6">
        <f>HYPERLINK("http://www.eum.go.kr/web/ar/lu/luLandDet.jsp?pnu=3611011600107670000&amp;isNoScr=script&amp;mode=search",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287.5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해밀동 777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56500</v>
      </c>
      <c r="G3137" s="4" t="n">
        <v>294</v>
      </c>
      <c r="H3137" s="4" t="n">
        <v>89</v>
      </c>
      <c r="I3137" s="5" t="n">
        <v>634.8</v>
      </c>
      <c r="J3137" s="5" t="n">
        <v>243.3</v>
      </c>
      <c r="K3137" s="3" t="inlineStr">
        <is>
          <t>남향 원수산조망 뒷쪽 보행로접</t>
        </is>
      </c>
      <c r="L3137" s="6">
        <f>HYPERLINK("https://fin.land.naver.com/articles/2653837563", "매물Link")</f>
        <v/>
      </c>
      <c r="M3137" s="6">
        <f>HYPERLINK("https://map.naver.com/p/search/해밀동 777", "지도Link")</f>
        <v/>
      </c>
      <c r="N3137" s="6">
        <f>HYPERLINK("http://www.eum.go.kr/web/ar/lu/luLandDet.jsp?pnu=3611011600107770000&amp;isNoScr=script&amp;mode=search", "토지이음")</f>
        <v/>
      </c>
      <c r="O3137" s="3" t="inlineStr">
        <is>
          <t>세종스타</t>
        </is>
      </c>
      <c r="P3137" s="4" t="n">
        <v>1</v>
      </c>
      <c r="Q3137" s="4" t="n">
        <v>294.8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사다리형</t>
        </is>
      </c>
      <c r="V3137" s="3" t="inlineStr">
        <is>
          <t>소로한면</t>
        </is>
      </c>
    </row>
    <row r="3138">
      <c r="A3138" s="3" t="inlineStr">
        <is>
          <t>해밀동 777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56500</v>
      </c>
      <c r="G3138" s="4" t="n">
        <v>294</v>
      </c>
      <c r="H3138" s="4" t="n">
        <v>89</v>
      </c>
      <c r="I3138" s="5" t="n">
        <v>634.8</v>
      </c>
      <c r="J3138" s="5" t="n">
        <v>243.3</v>
      </c>
      <c r="K3138" s="3" t="inlineStr">
        <is>
          <t>해밀동 가격 좋은 단독주택 매매, 공원인근</t>
        </is>
      </c>
      <c r="L3138" s="6">
        <f>HYPERLINK("https://fin.land.naver.com/articles/2653569861", "매물Link")</f>
        <v/>
      </c>
      <c r="M3138" s="6">
        <f>HYPERLINK("https://map.naver.com/p/search/해밀동 777", "지도Link")</f>
        <v/>
      </c>
      <c r="N3138" s="6">
        <f>HYPERLINK("http://www.eum.go.kr/web/ar/lu/luLandDet.jsp?pnu=3611011600107770000&amp;isNoScr=script&amp;mode=search", "토지이음")</f>
        <v/>
      </c>
      <c r="O3138" s="3" t="inlineStr">
        <is>
          <t>세종무지개</t>
        </is>
      </c>
      <c r="P3138" s="4" t="n">
        <v>1</v>
      </c>
      <c r="Q3138" s="4" t="n">
        <v>294.8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소로한면</t>
        </is>
      </c>
    </row>
    <row r="3139">
      <c r="A3139" s="3" t="inlineStr">
        <is>
          <t>해밀동 806</t>
        </is>
      </c>
      <c r="B3139" s="3" t="inlineStr">
        <is>
          <t>제1종전용주거지역</t>
        </is>
      </c>
      <c r="C3139" s="3" t="inlineStr">
        <is>
          <t>도로</t>
        </is>
      </c>
      <c r="D3139" s="3" t="inlineStr">
        <is>
          <t>대</t>
        </is>
      </c>
      <c r="E3139" s="3" t="inlineStr">
        <is>
          <t>매매</t>
        </is>
      </c>
      <c r="F3139" s="4" t="n">
        <v>70000</v>
      </c>
      <c r="G3139" s="4" t="n">
        <v>314</v>
      </c>
      <c r="H3139" s="4" t="n">
        <v>95</v>
      </c>
      <c r="I3139" s="5" t="n">
        <v>736.8</v>
      </c>
      <c r="J3139" s="5" t="n">
        <v>79.59999999999999</v>
      </c>
      <c r="K3139" s="3" t="inlineStr">
        <is>
          <t>조율가능 시유지접한 지대높음</t>
        </is>
      </c>
      <c r="L3139" s="6">
        <f>HYPERLINK("https://fin.land.naver.com/articles/2651299558", "매물Link")</f>
        <v/>
      </c>
      <c r="M3139" s="6">
        <f>HYPERLINK("https://map.naver.com/p/search/해밀동 806", "지도Link")</f>
        <v/>
      </c>
      <c r="N3139" s="6">
        <f>HYPERLINK("http://www.eum.go.kr/web/ar/lu/luLandDet.jsp?pnu=3611011600108060000&amp;isNoScr=script&amp;mode=search", "토지이음")</f>
        <v/>
      </c>
      <c r="O3139" s="3" t="inlineStr">
        <is>
          <t>세종스타</t>
        </is>
      </c>
      <c r="P3139" s="4" t="n">
        <v>1</v>
      </c>
      <c r="Q3139" s="4" t="n">
        <v>5372.8</v>
      </c>
      <c r="R3139" s="3" t="inlineStr">
        <is>
          <t>지정되지않음</t>
        </is>
      </c>
      <c r="S3139" s="3" t="inlineStr">
        <is>
          <t>도로등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지정되지않음</t>
        </is>
      </c>
    </row>
    <row r="3140">
      <c r="A3140" s="3" t="inlineStr">
        <is>
          <t>현도면 노산리 10</t>
        </is>
      </c>
      <c r="B3140" s="3" t="inlineStr">
        <is>
          <t>개발제한구역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9900</v>
      </c>
      <c r="G3140" s="4" t="n">
        <v>660</v>
      </c>
      <c r="H3140" s="4" t="n">
        <v>200</v>
      </c>
      <c r="I3140" s="5" t="n">
        <v>49.5</v>
      </c>
      <c r="J3140" s="5" t="n">
        <v>19.3</v>
      </c>
      <c r="K3140" s="3" t="inlineStr">
        <is>
          <t>2차선 도로에 접하고 남향으로 해가 잘 들고 금강이 보이는 주말농장부지</t>
        </is>
      </c>
      <c r="L3140" s="6">
        <f>HYPERLINK("https://fin.land.naver.com/articles/2650884587", "매물Link")</f>
        <v/>
      </c>
      <c r="M3140" s="6">
        <f>HYPERLINK("https://map.naver.com/p/search/현도면 노산리 10", "지도Link")</f>
        <v/>
      </c>
      <c r="N3140" s="6">
        <f>HYPERLINK("http://www.eum.go.kr/web/ar/lu/luLandDet.jsp?pnu=4311232030100100000&amp;isNoScr=script&amp;mode=search", "토지이음")</f>
        <v/>
      </c>
      <c r="O3140" s="3" t="inlineStr">
        <is>
          <t>대전토지로무소</t>
        </is>
      </c>
      <c r="P3140" s="4" t="n">
        <v>1</v>
      </c>
      <c r="Q3140" s="4" t="n">
        <v>660</v>
      </c>
      <c r="R3140" s="3" t="inlineStr">
        <is>
          <t>지정되지않음</t>
        </is>
      </c>
      <c r="S3140" s="3" t="inlineStr">
        <is>
          <t>답</t>
        </is>
      </c>
      <c r="T3140" s="3" t="inlineStr">
        <is>
          <t>완경사</t>
        </is>
      </c>
      <c r="U3140" s="3" t="inlineStr">
        <is>
          <t>부정형</t>
        </is>
      </c>
      <c r="V3140" s="3" t="inlineStr">
        <is>
          <t>세로한면(불)</t>
        </is>
      </c>
    </row>
    <row r="3141">
      <c r="A3141" s="3" t="inlineStr">
        <is>
          <t>현도면 노산리 136</t>
        </is>
      </c>
      <c r="B3141" s="3" t="inlineStr">
        <is>
          <t>개발제한구역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31185</v>
      </c>
      <c r="G3141" s="4" t="n">
        <v>4943</v>
      </c>
      <c r="H3141" s="4" t="n">
        <v>1495</v>
      </c>
      <c r="I3141" s="5" t="n">
        <v>20.9</v>
      </c>
      <c r="J3141" s="5" t="n">
        <v>9.1</v>
      </c>
      <c r="K3141" s="3" t="inlineStr">
        <is>
          <t>nan</t>
        </is>
      </c>
      <c r="L3141" s="6">
        <f>HYPERLINK("https://fin.land.naver.com/articles/2653643840", "매물Link")</f>
        <v/>
      </c>
      <c r="M3141" s="6">
        <f>HYPERLINK("https://map.naver.com/p/search/현도면 노산리 136", "지도Link")</f>
        <v/>
      </c>
      <c r="N3141" s="6">
        <f>HYPERLINK("http://www.eum.go.kr/web/ar/lu/luLandDet.jsp?pnu=4311232030101360000&amp;isNoScr=script&amp;mode=search", "토지이음")</f>
        <v/>
      </c>
      <c r="O3141" s="3" t="inlineStr">
        <is>
          <t>미르</t>
        </is>
      </c>
      <c r="P3141" s="4" t="n">
        <v>1</v>
      </c>
      <c r="Q3141" s="4" t="n">
        <v>1498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세로한면(불)</t>
        </is>
      </c>
    </row>
    <row r="3142">
      <c r="A3142" s="3" t="inlineStr">
        <is>
          <t>현도면 노산리 2</t>
        </is>
      </c>
      <c r="B3142" s="3" t="inlineStr">
        <is>
          <t>개발제한구역</t>
        </is>
      </c>
      <c r="C3142" s="3" t="inlineStr">
        <is>
          <t>답</t>
        </is>
      </c>
      <c r="D3142" s="3" t="inlineStr">
        <is>
          <t>전</t>
        </is>
      </c>
      <c r="E3142" s="3" t="inlineStr">
        <is>
          <t>매매</t>
        </is>
      </c>
      <c r="F3142" s="4" t="n">
        <v>14000</v>
      </c>
      <c r="G3142" s="4" t="n">
        <v>762</v>
      </c>
      <c r="H3142" s="4" t="n">
        <v>231</v>
      </c>
      <c r="I3142" s="5" t="n">
        <v>60.6</v>
      </c>
      <c r="J3142" s="5" t="n">
        <v>21.4</v>
      </c>
      <c r="K3142" s="3" t="inlineStr">
        <is>
          <t>아주 귀한 위치 좋은 농지 2차선 도로에 접한 전으로 주말농장, 텃밭 등</t>
        </is>
      </c>
      <c r="L3142" s="6">
        <f>HYPERLINK("https://fin.land.naver.com/articles/2653599342", "매물Link")</f>
        <v/>
      </c>
      <c r="M3142" s="6">
        <f>HYPERLINK("https://map.naver.com/p/search/현도면 노산리 2", "지도Link")</f>
        <v/>
      </c>
      <c r="N3142" s="6">
        <f>HYPERLINK("http://www.eum.go.kr/web/ar/lu/luLandDet.jsp?pnu=4311232030100020000&amp;isNoScr=script&amp;mode=search",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762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소로한면</t>
        </is>
      </c>
    </row>
    <row r="3143">
      <c r="A3143" s="3" t="inlineStr">
        <is>
          <t>현도면 노산리 224-2</t>
        </is>
      </c>
      <c r="B3143" s="3" t="inlineStr">
        <is>
          <t>개발제한구역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12500</v>
      </c>
      <c r="G3143" s="4" t="n">
        <v>1130</v>
      </c>
      <c r="H3143" s="4" t="n">
        <v>342</v>
      </c>
      <c r="I3143" s="5" t="n">
        <v>36.5</v>
      </c>
      <c r="J3143" s="5" t="n">
        <v>15.2</v>
      </c>
      <c r="K3143" s="3" t="inlineStr">
        <is>
          <t>대전 청주 근교에 농장 찾는 분께 추천</t>
        </is>
      </c>
      <c r="L3143" s="6">
        <f>HYPERLINK("https://fin.land.naver.com/articles/2652653735", "매물Link")</f>
        <v/>
      </c>
      <c r="M3143" s="6">
        <f>HYPERLINK("https://map.naver.com/p/search/현도면 노산리 224-2", "지도Link")</f>
        <v/>
      </c>
      <c r="N3143" s="6">
        <f>HYPERLINK("http://www.eum.go.kr/web/ar/lu/luLandDet.jsp?pnu=4311232030102240002&amp;isNoScr=script&amp;mode=search", "토지이음")</f>
        <v/>
      </c>
      <c r="O3143" s="3" t="inlineStr">
        <is>
          <t>대별</t>
        </is>
      </c>
      <c r="P3143" s="4" t="n">
        <v>1</v>
      </c>
      <c r="Q3143" s="4" t="n">
        <v>873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평지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노산리 293</t>
        </is>
      </c>
      <c r="B3144" s="3" t="inlineStr">
        <is>
          <t>개발제한구역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21000</v>
      </c>
      <c r="G3144" s="4" t="n">
        <v>1805</v>
      </c>
      <c r="H3144" s="4" t="n">
        <v>546</v>
      </c>
      <c r="I3144" s="5" t="n">
        <v>38.5</v>
      </c>
      <c r="J3144" s="5" t="n">
        <v>18.1</v>
      </c>
      <c r="K3144" s="3" t="inlineStr">
        <is>
          <t>양면도로 접 해가 잘드는 네모 반듯한 토지 주말농장 농지원부용 투자 등</t>
        </is>
      </c>
      <c r="L3144" s="6">
        <f>HYPERLINK("https://fin.land.naver.com/articles/2651942681", "매물Link")</f>
        <v/>
      </c>
      <c r="M3144" s="6">
        <f>HYPERLINK("https://map.naver.com/p/search/현도면 노산리 293", "지도Link")</f>
        <v/>
      </c>
      <c r="N3144" s="6">
        <f>HYPERLINK("http://www.eum.go.kr/web/ar/lu/luLandDet.jsp?pnu=4311232030102930000&amp;isNoScr=script&amp;mode=search", "토지이음")</f>
        <v/>
      </c>
      <c r="O3144" s="3" t="inlineStr">
        <is>
          <t>대전토지로무소</t>
        </is>
      </c>
      <c r="P3144" s="4" t="n">
        <v>1</v>
      </c>
      <c r="Q3144" s="4" t="n">
        <v>1805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세로한면(가)</t>
        </is>
      </c>
    </row>
    <row r="3145">
      <c r="A3145" s="3" t="inlineStr">
        <is>
          <t>현도면 노산리 293-1</t>
        </is>
      </c>
      <c r="B3145" s="3" t="inlineStr">
        <is>
          <t>개발제한구역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14500</v>
      </c>
      <c r="G3145" s="4" t="n">
        <v>1136</v>
      </c>
      <c r="H3145" s="4" t="n">
        <v>344</v>
      </c>
      <c r="I3145" s="5" t="n">
        <v>42.2</v>
      </c>
      <c r="J3145" s="5" t="n">
        <v>18.1</v>
      </c>
      <c r="K3145" s="3" t="inlineStr">
        <is>
          <t>서원구 현도면 답 매매 진입 도로 있음</t>
        </is>
      </c>
      <c r="L3145" s="6">
        <f>HYPERLINK("https://fin.land.naver.com/articles/2655611258", "매물Link")</f>
        <v/>
      </c>
      <c r="M3145" s="6">
        <f>HYPERLINK("https://map.naver.com/p/search/현도면 노산리 293-1", "지도Link")</f>
        <v/>
      </c>
      <c r="N3145" s="6">
        <f>HYPERLINK("http://www.eum.go.kr/web/ar/lu/luLandDet.jsp?pnu=4311232030102930001&amp;isNoScr=script&amp;mode=search", "토지이음")</f>
        <v/>
      </c>
      <c r="O3145" s="3" t="inlineStr">
        <is>
          <t>365사무소</t>
        </is>
      </c>
      <c r="P3145" s="4" t="n">
        <v>1</v>
      </c>
      <c r="Q3145" s="4" t="n">
        <v>1136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평지</t>
        </is>
      </c>
      <c r="U3145" s="3" t="inlineStr">
        <is>
          <t>세로장방</t>
        </is>
      </c>
      <c r="V3145" s="3" t="inlineStr">
        <is>
          <t>세로한면(가)</t>
        </is>
      </c>
    </row>
    <row r="3146">
      <c r="A3146" s="3" t="inlineStr">
        <is>
          <t>현도면 노산리 293-1</t>
        </is>
      </c>
      <c r="B3146" s="3" t="inlineStr">
        <is>
          <t>개발제한구역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14000</v>
      </c>
      <c r="G3146" s="4" t="n">
        <v>1136</v>
      </c>
      <c r="H3146" s="4" t="n">
        <v>344</v>
      </c>
      <c r="I3146" s="5" t="n">
        <v>40.7</v>
      </c>
      <c r="J3146" s="5" t="n">
        <v>18.1</v>
      </c>
      <c r="K3146" s="3" t="inlineStr">
        <is>
          <t>도로에 접한 농지, 물 사용하기 편한 농지</t>
        </is>
      </c>
      <c r="L3146" s="6">
        <f>HYPERLINK("https://fin.land.naver.com/articles/2656127199", "매물Link")</f>
        <v/>
      </c>
      <c r="M3146" s="6">
        <f>HYPERLINK("https://map.naver.com/p/search/현도면 노산리 293-1", "지도Link")</f>
        <v/>
      </c>
      <c r="N3146" s="6">
        <f>HYPERLINK("http://www.eum.go.kr/web/ar/lu/luLandDet.jsp?pnu=4311232030102930001&amp;isNoScr=script&amp;mode=search", "토지이음")</f>
        <v/>
      </c>
      <c r="O3146" s="3" t="inlineStr">
        <is>
          <t>복돼지</t>
        </is>
      </c>
      <c r="P3146" s="4" t="n">
        <v>1</v>
      </c>
      <c r="Q3146" s="4" t="n">
        <v>1136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세로한면(가)</t>
        </is>
      </c>
    </row>
    <row r="3147">
      <c r="A3147" s="3" t="inlineStr">
        <is>
          <t>현도면 노산리 423</t>
        </is>
      </c>
      <c r="B3147" s="3" t="inlineStr">
        <is>
          <t>개발제한구역</t>
        </is>
      </c>
      <c r="C3147" s="3" t="inlineStr">
        <is>
          <t>답</t>
        </is>
      </c>
      <c r="D3147" s="3" t="inlineStr">
        <is>
          <t>전</t>
        </is>
      </c>
      <c r="E3147" s="3" t="inlineStr">
        <is>
          <t>매매</t>
        </is>
      </c>
      <c r="F3147" s="4" t="n">
        <v>25200</v>
      </c>
      <c r="G3147" s="4" t="n">
        <v>2195</v>
      </c>
      <c r="H3147" s="4" t="n">
        <v>664</v>
      </c>
      <c r="I3147" s="5" t="n">
        <v>38</v>
      </c>
      <c r="J3147" s="5" t="n">
        <v>17.1</v>
      </c>
      <c r="K3147" s="3" t="inlineStr">
        <is>
          <t>nan</t>
        </is>
      </c>
      <c r="L3147" s="6">
        <f>HYPERLINK("https://fin.land.naver.com/articles/2654783849", "매물Link")</f>
        <v/>
      </c>
      <c r="M3147" s="6">
        <f>HYPERLINK("https://map.naver.com/p/search/현도면 노산리 423", "지도Link")</f>
        <v/>
      </c>
      <c r="N3147" s="6">
        <f>HYPERLINK("http://www.eum.go.kr/web/ar/lu/luLandDet.jsp?pnu=4311232030104230000&amp;isNoScr=script&amp;mode=search", "토지이음")</f>
        <v/>
      </c>
      <c r="O3147" s="3" t="inlineStr">
        <is>
          <t>강성원</t>
        </is>
      </c>
      <c r="P3147" s="4" t="n">
        <v>1</v>
      </c>
      <c r="Q3147" s="4" t="n">
        <v>2195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세로한면(불)</t>
        </is>
      </c>
    </row>
    <row r="3148">
      <c r="A3148" s="3" t="inlineStr">
        <is>
          <t>현도면 노산리 498</t>
        </is>
      </c>
      <c r="B3148" s="3" t="inlineStr">
        <is>
          <t>개발제한구역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29000</v>
      </c>
      <c r="G3148" s="4" t="n">
        <v>3022</v>
      </c>
      <c r="H3148" s="4" t="n">
        <v>914</v>
      </c>
      <c r="I3148" s="5" t="n">
        <v>31.7</v>
      </c>
      <c r="J3148" s="5" t="n">
        <v>19.2</v>
      </c>
      <c r="K3148" s="3" t="inlineStr">
        <is>
          <t>신탄진에서 가깝고 경치좋고 해가 잘드는 주말 농지 추천</t>
        </is>
      </c>
      <c r="L3148" s="6">
        <f>HYPERLINK("https://fin.land.naver.com/articles/2651923687", "매물Link")</f>
        <v/>
      </c>
      <c r="M3148" s="6">
        <f>HYPERLINK("https://map.naver.com/p/search/현도면 노산리 498", "지도Link")</f>
        <v/>
      </c>
      <c r="N3148" s="6">
        <f>HYPERLINK("http://www.eum.go.kr/web/ar/lu/luLandDet.jsp?pnu=4311232030104980000&amp;isNoScr=script&amp;mode=search", "토지이음")</f>
        <v/>
      </c>
      <c r="O3148" s="3" t="inlineStr">
        <is>
          <t>대전토지로무소</t>
        </is>
      </c>
      <c r="P3148" s="4" t="n">
        <v>1</v>
      </c>
      <c r="Q3148" s="4" t="n">
        <v>3022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세로한면(가)</t>
        </is>
      </c>
    </row>
    <row r="3149">
      <c r="A3149" s="3" t="inlineStr">
        <is>
          <t>현도면 노산리 531</t>
        </is>
      </c>
      <c r="B3149" s="3" t="inlineStr">
        <is>
          <t>개발제한구역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12600</v>
      </c>
      <c r="G3149" s="4" t="n">
        <v>1389</v>
      </c>
      <c r="H3149" s="4" t="n">
        <v>420</v>
      </c>
      <c r="I3149" s="5" t="n">
        <v>30</v>
      </c>
      <c r="J3149" s="5" t="n">
        <v>19.2</v>
      </c>
      <c r="K3149" s="3" t="inlineStr">
        <is>
          <t>농업진흥구역,진입도로 양호.</t>
        </is>
      </c>
      <c r="L3149" s="6">
        <f>HYPERLINK("https://fin.land.naver.com/articles/2656048400", "매물Link")</f>
        <v/>
      </c>
      <c r="M3149" s="6">
        <f>HYPERLINK("https://map.naver.com/p/search/현도면 노산리 531", "지도Link")</f>
        <v/>
      </c>
      <c r="N3149" s="6">
        <f>HYPERLINK("http://www.eum.go.kr/web/ar/lu/luLandDet.jsp?pnu=4311232030105310000&amp;isNoScr=script&amp;mode=search", "토지이음")</f>
        <v/>
      </c>
      <c r="O3149" s="3" t="inlineStr">
        <is>
          <t>햇님</t>
        </is>
      </c>
      <c r="P3149" s="4" t="n">
        <v>2</v>
      </c>
      <c r="Q3149" s="4" t="n">
        <v>1389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세로한면(가)</t>
        </is>
      </c>
    </row>
    <row r="3150">
      <c r="A3150" s="3" t="inlineStr">
        <is>
          <t>현도면 노산리 547</t>
        </is>
      </c>
      <c r="B3150" s="3" t="inlineStr">
        <is>
          <t>개발제한구역</t>
        </is>
      </c>
      <c r="C3150" s="3" t="inlineStr">
        <is>
          <t>답</t>
        </is>
      </c>
      <c r="D3150" s="3" t="inlineStr">
        <is>
          <t>답</t>
        </is>
      </c>
      <c r="E3150" s="3" t="inlineStr">
        <is>
          <t>매매</t>
        </is>
      </c>
      <c r="F3150" s="4" t="n">
        <v>9900</v>
      </c>
      <c r="G3150" s="4" t="n">
        <v>1271</v>
      </c>
      <c r="H3150" s="4" t="n">
        <v>384</v>
      </c>
      <c r="I3150" s="5" t="n">
        <v>25.8</v>
      </c>
      <c r="J3150" s="5" t="n">
        <v>19.2</v>
      </c>
      <c r="K3150" s="3" t="inlineStr">
        <is>
          <t>주변시세보다 월등히 저렴한 소형토지, 포장도로 접 해가 잘드는 주말농장</t>
        </is>
      </c>
      <c r="L3150" s="6">
        <f>HYPERLINK("https://fin.land.naver.com/articles/2654968983", "매물Link")</f>
        <v/>
      </c>
      <c r="M3150" s="6">
        <f>HYPERLINK("https://map.naver.com/p/search/현도면 노산리 547", "지도Link")</f>
        <v/>
      </c>
      <c r="N3150" s="6">
        <f>HYPERLINK("http://www.eum.go.kr/web/ar/lu/luLandDet.jsp?pnu=4311232030105470000&amp;isNoScr=script&amp;mode=search", "토지이음")</f>
        <v/>
      </c>
      <c r="O3150" s="3" t="inlineStr">
        <is>
          <t>대전토지로무소</t>
        </is>
      </c>
      <c r="P3150" s="4" t="n">
        <v>1</v>
      </c>
      <c r="Q3150" s="4" t="n">
        <v>1272</v>
      </c>
      <c r="R3150" s="3" t="inlineStr">
        <is>
          <t>지정되지않음</t>
        </is>
      </c>
      <c r="S3150" s="3" t="inlineStr">
        <is>
          <t>답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세로한면(가)</t>
        </is>
      </c>
    </row>
    <row r="3151">
      <c r="A3151" s="3" t="inlineStr">
        <is>
          <t>현도면 노산리 600</t>
        </is>
      </c>
      <c r="B3151" s="3" t="inlineStr">
        <is>
          <t>개발제한구역</t>
        </is>
      </c>
      <c r="C3151" s="3" t="inlineStr">
        <is>
          <t>전</t>
        </is>
      </c>
      <c r="D3151" s="3" t="inlineStr">
        <is>
          <t>전</t>
        </is>
      </c>
      <c r="E3151" s="3" t="inlineStr">
        <is>
          <t>매매</t>
        </is>
      </c>
      <c r="F3151" s="4" t="n">
        <v>32000</v>
      </c>
      <c r="G3151" s="4" t="n">
        <v>2960</v>
      </c>
      <c r="H3151" s="4" t="n">
        <v>895</v>
      </c>
      <c r="I3151" s="5" t="n">
        <v>35.8</v>
      </c>
      <c r="J3151" s="5" t="n">
        <v>20.6</v>
      </c>
      <c r="K3151" s="3" t="inlineStr">
        <is>
          <t>노산리 도로가 농지 매매, 신탄진지역 차로 10분 거리</t>
        </is>
      </c>
      <c r="L3151" s="6">
        <f>HYPERLINK("https://fin.land.naver.com/articles/2655015775", "매물Link")</f>
        <v/>
      </c>
      <c r="M3151" s="6">
        <f>HYPERLINK("https://map.naver.com/p/search/현도면 노산리 600", "지도Link")</f>
        <v/>
      </c>
      <c r="N3151" s="6">
        <f>HYPERLINK("http://www.eum.go.kr/web/ar/lu/luLandDet.jsp?pnu=4311232030106000000&amp;isNoScr=script&amp;mode=search", "토지이음")</f>
        <v/>
      </c>
      <c r="O3151" s="3" t="inlineStr">
        <is>
          <t>복돼지</t>
        </is>
      </c>
      <c r="P3151" s="4" t="n">
        <v>1</v>
      </c>
      <c r="Q3151" s="4" t="n">
        <v>2960</v>
      </c>
      <c r="R3151" s="3" t="inlineStr">
        <is>
          <t>지정되지않음</t>
        </is>
      </c>
      <c r="S3151" s="3" t="inlineStr">
        <is>
          <t>전</t>
        </is>
      </c>
      <c r="T3151" s="3" t="inlineStr">
        <is>
          <t>평지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노산리 600</t>
        </is>
      </c>
      <c r="B3152" s="3" t="inlineStr">
        <is>
          <t>개발제한구역</t>
        </is>
      </c>
      <c r="C3152" s="3" t="inlineStr">
        <is>
          <t>전</t>
        </is>
      </c>
      <c r="D3152" s="3" t="inlineStr">
        <is>
          <t>전</t>
        </is>
      </c>
      <c r="E3152" s="3" t="inlineStr">
        <is>
          <t>매매</t>
        </is>
      </c>
      <c r="F3152" s="4" t="n">
        <v>32000</v>
      </c>
      <c r="G3152" s="4" t="n">
        <v>2960</v>
      </c>
      <c r="H3152" s="4" t="n">
        <v>895</v>
      </c>
      <c r="I3152" s="5" t="n">
        <v>35.8</v>
      </c>
      <c r="J3152" s="5" t="n">
        <v>20.6</v>
      </c>
      <c r="K3152" s="3" t="inlineStr">
        <is>
          <t>햇볕이 잘들고 공기가 좋은 농지로 현재 전으로 사용, 신탄진에서 10분</t>
        </is>
      </c>
      <c r="L3152" s="6">
        <f>HYPERLINK("https://fin.land.naver.com/articles/2654904918", "매물Link")</f>
        <v/>
      </c>
      <c r="M3152" s="6">
        <f>HYPERLINK("https://map.naver.com/p/search/현도면 노산리 600", "지도Link")</f>
        <v/>
      </c>
      <c r="N3152" s="6">
        <f>HYPERLINK("http://www.eum.go.kr/web/ar/lu/luLandDet.jsp?pnu=4311232030106000000&amp;isNoScr=script&amp;mode=search", "토지이음")</f>
        <v/>
      </c>
      <c r="O3152" s="3" t="inlineStr">
        <is>
          <t>대전토지로무소</t>
        </is>
      </c>
      <c r="P3152" s="4" t="n">
        <v>1</v>
      </c>
      <c r="Q3152" s="4" t="n">
        <v>2960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평지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노산리 65-3</t>
        </is>
      </c>
      <c r="B3153" s="3" t="inlineStr">
        <is>
          <t>자연녹지지역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34800</v>
      </c>
      <c r="G3153" s="4" t="n">
        <v>884</v>
      </c>
      <c r="H3153" s="4" t="n">
        <v>267</v>
      </c>
      <c r="I3153" s="5" t="n">
        <v>130.3</v>
      </c>
      <c r="J3153" s="5" t="n">
        <v>50.3</v>
      </c>
      <c r="K3153" s="3" t="inlineStr">
        <is>
          <t>대청댐 인근, 신탄진네거리에서 차량으로 5분 거리</t>
        </is>
      </c>
      <c r="L3153" s="6">
        <f>HYPERLINK("https://fin.land.naver.com/articles/2651588237", "매물Link")</f>
        <v/>
      </c>
      <c r="M3153" s="6">
        <f>HYPERLINK("https://map.naver.com/p/search/현도면 노산리 65-3", "지도Link")</f>
        <v/>
      </c>
      <c r="N3153" s="6">
        <f>HYPERLINK("http://www.eum.go.kr/web/ar/lu/luLandDet.jsp?pnu=4311232030100650003&amp;isNoScr=script&amp;mode=search", "토지이음")</f>
        <v/>
      </c>
      <c r="O3153" s="3" t="inlineStr">
        <is>
          <t>대지</t>
        </is>
      </c>
      <c r="P3153" s="4" t="n">
        <v>1</v>
      </c>
      <c r="Q3153" s="4" t="n">
        <v>350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평지</t>
        </is>
      </c>
      <c r="U3153" s="3" t="inlineStr">
        <is>
          <t>부정형</t>
        </is>
      </c>
      <c r="V3153" s="3" t="inlineStr">
        <is>
          <t>세로한면(가)</t>
        </is>
      </c>
    </row>
    <row r="3154">
      <c r="A3154" s="3" t="inlineStr">
        <is>
          <t>현도면 노산리 693-8</t>
        </is>
      </c>
      <c r="B3154" s="3" t="inlineStr">
        <is>
          <t>제1종일반주거지역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80000</v>
      </c>
      <c r="G3154" s="4" t="n">
        <v>2674</v>
      </c>
      <c r="H3154" s="4" t="n">
        <v>809</v>
      </c>
      <c r="I3154" s="5" t="n">
        <v>98.90000000000001</v>
      </c>
      <c r="J3154" s="5" t="n">
        <v>66.2</v>
      </c>
      <c r="K3154" s="3" t="inlineStr">
        <is>
          <t>가격 좋고 위치 좋은 대지  답입니다</t>
        </is>
      </c>
      <c r="L3154" s="6">
        <f>HYPERLINK("https://fin.land.naver.com/articles/2653572344", "매물Link")</f>
        <v/>
      </c>
      <c r="M3154" s="6">
        <f>HYPERLINK("https://map.naver.com/p/search/현도면 노산리 693-8", "지도Link")</f>
        <v/>
      </c>
      <c r="N3154" s="6">
        <f>HYPERLINK("http://www.eum.go.kr/web/ar/lu/luLandDet.jsp?pnu=4311232030106930008&amp;isNoScr=script&amp;mode=search", "토지이음")</f>
        <v/>
      </c>
      <c r="O3154" s="3" t="inlineStr">
        <is>
          <t>대웅</t>
        </is>
      </c>
      <c r="P3154" s="4" t="n">
        <v>1</v>
      </c>
      <c r="Q3154" s="4" t="n">
        <v>261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세로한면(가)</t>
        </is>
      </c>
    </row>
    <row r="3155">
      <c r="A3155" s="3" t="inlineStr">
        <is>
          <t>현도면 달계리 173</t>
        </is>
      </c>
      <c r="B3155" s="3" t="inlineStr">
        <is>
          <t>개발제한구역</t>
        </is>
      </c>
      <c r="C3155" s="3" t="inlineStr">
        <is>
          <t>답</t>
        </is>
      </c>
      <c r="D3155" s="3" t="inlineStr">
        <is>
          <t>답</t>
        </is>
      </c>
      <c r="E3155" s="3" t="inlineStr">
        <is>
          <t>매매</t>
        </is>
      </c>
      <c r="F3155" s="4" t="n">
        <v>25200</v>
      </c>
      <c r="G3155" s="4" t="n">
        <v>2080</v>
      </c>
      <c r="H3155" s="4" t="n">
        <v>629</v>
      </c>
      <c r="I3155" s="5" t="n">
        <v>40.1</v>
      </c>
      <c r="J3155" s="5" t="n">
        <v>13.2</v>
      </c>
      <c r="K3155" s="3" t="inlineStr">
        <is>
          <t>도로인접, 코너각지, 지형이 좋은 토지</t>
        </is>
      </c>
      <c r="L3155" s="6">
        <f>HYPERLINK("https://fin.land.naver.com/articles/2651028521", "매물Link")</f>
        <v/>
      </c>
      <c r="M3155" s="6">
        <f>HYPERLINK("https://map.naver.com/p/search/현도면 달계리 173", "지도Link")</f>
        <v/>
      </c>
      <c r="N3155" s="6">
        <f>HYPERLINK("http://www.eum.go.kr/web/ar/lu/luLandDet.jsp?pnu=4311232031101730000&amp;isNoScr=script&amp;mode=search", "토지이음")</f>
        <v/>
      </c>
      <c r="O3155" s="3" t="inlineStr">
        <is>
          <t>대지</t>
        </is>
      </c>
      <c r="P3155" s="4" t="n">
        <v>2</v>
      </c>
      <c r="Q3155" s="4" t="n">
        <v>2080</v>
      </c>
      <c r="R3155" s="3" t="inlineStr">
        <is>
          <t>지정되지않음</t>
        </is>
      </c>
      <c r="S3155" s="3" t="inlineStr">
        <is>
          <t>답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세로한면(가)</t>
        </is>
      </c>
    </row>
    <row r="3156">
      <c r="A3156" s="3" t="inlineStr">
        <is>
          <t>현도면 달계리 173</t>
        </is>
      </c>
      <c r="B3156" s="3" t="inlineStr">
        <is>
          <t>개발제한구역</t>
        </is>
      </c>
      <c r="C3156" s="3" t="inlineStr">
        <is>
          <t>답</t>
        </is>
      </c>
      <c r="D3156" s="3" t="inlineStr">
        <is>
          <t>답</t>
        </is>
      </c>
      <c r="E3156" s="3" t="inlineStr">
        <is>
          <t>매매</t>
        </is>
      </c>
      <c r="F3156" s="4" t="n">
        <v>25000</v>
      </c>
      <c r="G3156" s="4" t="n">
        <v>2080</v>
      </c>
      <c r="H3156" s="4" t="n">
        <v>629</v>
      </c>
      <c r="I3156" s="5" t="n">
        <v>39.7</v>
      </c>
      <c r="J3156" s="5" t="n">
        <v>13.2</v>
      </c>
      <c r="K3156" s="3" t="inlineStr">
        <is>
          <t>컨테이너 있는 주말농장 코너각지 해가 잘 들고 도로접 접근성 좋음</t>
        </is>
      </c>
      <c r="L3156" s="6">
        <f>HYPERLINK("https://fin.land.naver.com/articles/2654968391", "매물Link")</f>
        <v/>
      </c>
      <c r="M3156" s="6">
        <f>HYPERLINK("https://map.naver.com/p/search/현도면 달계리 173", "지도Link")</f>
        <v/>
      </c>
      <c r="N3156" s="6">
        <f>HYPERLINK("http://www.eum.go.kr/web/ar/lu/luLandDet.jsp?pnu=4311232031101730000&amp;isNoScr=script&amp;mode=search", "토지이음")</f>
        <v/>
      </c>
      <c r="O3156" s="3" t="inlineStr">
        <is>
          <t>대전토지로무소</t>
        </is>
      </c>
      <c r="P3156" s="4" t="n">
        <v>1</v>
      </c>
      <c r="Q3156" s="4" t="n">
        <v>2080</v>
      </c>
      <c r="R3156" s="3" t="inlineStr">
        <is>
          <t>지정되지않음</t>
        </is>
      </c>
      <c r="S3156" s="3" t="inlineStr">
        <is>
          <t>답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달계리 269-1</t>
        </is>
      </c>
      <c r="B3157" s="3" t="inlineStr">
        <is>
          <t>개발제한구역</t>
        </is>
      </c>
      <c r="C3157" s="3" t="inlineStr">
        <is>
          <t>임야</t>
        </is>
      </c>
      <c r="D3157" s="3" t="inlineStr">
        <is>
          <t>임야</t>
        </is>
      </c>
      <c r="E3157" s="3" t="inlineStr">
        <is>
          <t>매매</t>
        </is>
      </c>
      <c r="F3157" s="4" t="n">
        <v>12500</v>
      </c>
      <c r="G3157" s="4" t="n">
        <v>6851</v>
      </c>
      <c r="H3157" s="4" t="n">
        <v>2072</v>
      </c>
      <c r="I3157" s="5" t="n">
        <v>6</v>
      </c>
      <c r="J3157" s="5" t="n">
        <v>2.1</v>
      </c>
      <c r="K3157" s="3" t="inlineStr">
        <is>
          <t>도로에 붙은 임</t>
        </is>
      </c>
      <c r="L3157" s="6">
        <f>HYPERLINK("https://fin.land.naver.com/articles/2651418962", "매물Link")</f>
        <v/>
      </c>
      <c r="M3157" s="6">
        <f>HYPERLINK("https://map.naver.com/p/search/현도면 달계리 269-1", "지도Link")</f>
        <v/>
      </c>
      <c r="N3157" s="6">
        <f>HYPERLINK("http://www.eum.go.kr/web/ar/lu/luLandDet.jsp?pnu=4311232031102690001&amp;isNoScr=script&amp;mode=search", "토지이음")</f>
        <v/>
      </c>
      <c r="O3157" s="3" t="inlineStr">
        <is>
          <t>오송이가</t>
        </is>
      </c>
      <c r="P3157" s="4" t="n">
        <v>1</v>
      </c>
      <c r="Q3157" s="4" t="n">
        <v>6851</v>
      </c>
      <c r="R3157" s="3" t="inlineStr">
        <is>
          <t>자연녹지지역</t>
        </is>
      </c>
      <c r="S3157" s="3" t="inlineStr">
        <is>
          <t>임야기타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현도면 달계리 589</t>
        </is>
      </c>
      <c r="B3158" s="3" t="inlineStr">
        <is>
          <t>제1종일반주거지역</t>
        </is>
      </c>
      <c r="C3158" s="3" t="inlineStr">
        <is>
          <t>답</t>
        </is>
      </c>
      <c r="D3158" s="3" t="inlineStr">
        <is>
          <t>답</t>
        </is>
      </c>
      <c r="E3158" s="3" t="inlineStr">
        <is>
          <t>매매</t>
        </is>
      </c>
      <c r="F3158" s="4" t="n">
        <v>400000</v>
      </c>
      <c r="G3158" s="4" t="n">
        <v>5014</v>
      </c>
      <c r="H3158" s="4" t="n">
        <v>1517</v>
      </c>
      <c r="I3158" s="5" t="n">
        <v>263.7</v>
      </c>
      <c r="J3158" s="5" t="n">
        <v>75.2</v>
      </c>
      <c r="K3158" s="3" t="inlineStr">
        <is>
          <t>7차선 도로접, 최고의 입지, 제조업 및 근생용 토지 매매</t>
        </is>
      </c>
      <c r="L3158" s="6">
        <f>HYPERLINK("https://fin.land.naver.com/articles/2655232623", "매물Link")</f>
        <v/>
      </c>
      <c r="M3158" s="6">
        <f>HYPERLINK("https://map.naver.com/p/search/현도면 달계리 589", "지도Link")</f>
        <v/>
      </c>
      <c r="N3158" s="6">
        <f>HYPERLINK("http://www.eum.go.kr/web/ar/lu/luLandDet.jsp?pnu=4311232031105890000&amp;isNoScr=script&amp;mode=search", "토지이음")</f>
        <v/>
      </c>
      <c r="O3158" s="3" t="inlineStr">
        <is>
          <t>금화랜드</t>
        </is>
      </c>
      <c r="P3158" s="4" t="n">
        <v>1</v>
      </c>
      <c r="Q3158" s="4" t="n">
        <v>5014.2</v>
      </c>
      <c r="R3158" s="3" t="inlineStr">
        <is>
          <t>지정되지않음</t>
        </is>
      </c>
      <c r="S3158" s="3" t="inlineStr">
        <is>
          <t>답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중로한면</t>
        </is>
      </c>
    </row>
    <row r="3159">
      <c r="A3159" s="3" t="inlineStr">
        <is>
          <t>현도면 달계리 67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대</t>
        </is>
      </c>
      <c r="E3159" s="3" t="inlineStr">
        <is>
          <t>매매</t>
        </is>
      </c>
      <c r="F3159" s="4" t="n">
        <v>30000</v>
      </c>
      <c r="G3159" s="4" t="n">
        <v>2914</v>
      </c>
      <c r="H3159" s="4" t="n">
        <v>881</v>
      </c>
      <c r="I3159" s="5" t="n">
        <v>34.1</v>
      </c>
      <c r="J3159" s="5" t="n">
        <v>17.2</v>
      </c>
      <c r="K3159" s="3" t="inlineStr">
        <is>
          <t>개발 제한구역 답 대토 가능합니다.</t>
        </is>
      </c>
      <c r="L3159" s="6">
        <f>HYPERLINK("https://fin.land.naver.com/articles/2654579684", "매물Link")</f>
        <v/>
      </c>
      <c r="M3159" s="6">
        <f>HYPERLINK("https://map.naver.com/p/search/현도면 달계리 67", "지도Link")</f>
        <v/>
      </c>
      <c r="N3159" s="6">
        <f>HYPERLINK("http://www.eum.go.kr/web/ar/lu/luLandDet.jsp?pnu=4311232031100670000&amp;isNoScr=script&amp;mode=search", "토지이음")</f>
        <v/>
      </c>
      <c r="O3159" s="3" t="inlineStr">
        <is>
          <t>한평</t>
        </is>
      </c>
      <c r="P3159" s="4" t="n">
        <v>1</v>
      </c>
      <c r="Q3159" s="4" t="n">
        <v>2914</v>
      </c>
      <c r="R3159" s="3" t="inlineStr">
        <is>
          <t>지정되지않음</t>
        </is>
      </c>
      <c r="S3159" s="3" t="inlineStr">
        <is>
          <t>답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소로한면</t>
        </is>
      </c>
    </row>
    <row r="3160">
      <c r="A3160" s="3" t="inlineStr">
        <is>
          <t>현도면 달계리 산84-4</t>
        </is>
      </c>
      <c r="B3160" s="3" t="inlineStr">
        <is>
          <t>개발제한구역</t>
        </is>
      </c>
      <c r="C3160" s="3" t="inlineStr">
        <is>
          <t>임야</t>
        </is>
      </c>
      <c r="D3160" s="3" t="inlineStr">
        <is>
          <t>임야</t>
        </is>
      </c>
      <c r="E3160" s="3" t="inlineStr">
        <is>
          <t>매매</t>
        </is>
      </c>
      <c r="F3160" s="4" t="n">
        <v>32000</v>
      </c>
      <c r="G3160" s="4" t="n">
        <v>3306</v>
      </c>
      <c r="H3160" s="4" t="n">
        <v>1000</v>
      </c>
      <c r="I3160" s="5" t="n">
        <v>32</v>
      </c>
      <c r="J3160" s="5" t="n">
        <v>1.9</v>
      </c>
      <c r="K3160" s="3" t="inlineStr">
        <is>
          <t>nan</t>
        </is>
      </c>
      <c r="L3160" s="6">
        <f>HYPERLINK("https://fin.land.naver.com/articles/2651730630", "매물Link")</f>
        <v/>
      </c>
      <c r="M3160" s="6">
        <f>HYPERLINK("https://map.naver.com/p/search/현도면 달계리 산84-4", "지도Link")</f>
        <v/>
      </c>
      <c r="N3160" s="6">
        <f>HYPERLINK("http://www.eum.go.kr/web/ar/lu/luLandDet.jsp?pnu=4311232031200840004&amp;isNoScr=script&amp;mode=search", "토지이음")</f>
        <v/>
      </c>
      <c r="O3160" s="3" t="inlineStr">
        <is>
          <t>우리동네</t>
        </is>
      </c>
      <c r="P3160" s="4" t="n">
        <v>1</v>
      </c>
      <c r="Q3160" s="4" t="n">
        <v>2562</v>
      </c>
      <c r="R3160" s="3" t="inlineStr">
        <is>
          <t>지정되지않음</t>
        </is>
      </c>
      <c r="S3160" s="3" t="inlineStr">
        <is>
          <t>자연림</t>
        </is>
      </c>
      <c r="T3160" s="3" t="inlineStr">
        <is>
          <t>완경사</t>
        </is>
      </c>
      <c r="U3160" s="3" t="inlineStr">
        <is>
          <t>부정형</t>
        </is>
      </c>
      <c r="V3160" s="3" t="inlineStr">
        <is>
          <t>세로한면(불)</t>
        </is>
      </c>
    </row>
    <row r="3161">
      <c r="A3161" s="3" t="inlineStr">
        <is>
          <t>현도면 매봉리 224-12</t>
        </is>
      </c>
      <c r="B3161" s="3" t="inlineStr">
        <is>
          <t>일반상업지역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95000</v>
      </c>
      <c r="G3161" s="4" t="n">
        <v>576</v>
      </c>
      <c r="H3161" s="4" t="n">
        <v>174</v>
      </c>
      <c r="I3161" s="5" t="n">
        <v>546</v>
      </c>
      <c r="J3161" s="5" t="n">
        <v>88.5</v>
      </c>
      <c r="K3161" s="3" t="inlineStr">
        <is>
          <t>충북 청주 서원구 현도면 주택 포함 땅 투자할분 추천</t>
        </is>
      </c>
      <c r="L3161" s="6">
        <f>HYPERLINK("https://fin.land.naver.com/articles/2656393382", "매물Link")</f>
        <v/>
      </c>
      <c r="M3161" s="6">
        <f>HYPERLINK("https://map.naver.com/p/search/현도면 매봉리 224-12", "지도Link")</f>
        <v/>
      </c>
      <c r="N3161" s="6">
        <f>HYPERLINK("http://www.eum.go.kr/web/ar/lu/luLandDet.jsp?pnu=4311232032102240012&amp;isNoScr=script&amp;mode=search", "토지이음")</f>
        <v/>
      </c>
      <c r="O3161" s="3" t="inlineStr">
        <is>
          <t>신도시</t>
        </is>
      </c>
      <c r="P3161" s="4" t="n">
        <v>1</v>
      </c>
      <c r="Q3161" s="4" t="n">
        <v>576</v>
      </c>
      <c r="R3161" s="3" t="inlineStr">
        <is>
          <t>지정되지않음</t>
        </is>
      </c>
      <c r="S3161" s="3" t="inlineStr">
        <is>
          <t>단독</t>
        </is>
      </c>
      <c r="T3161" s="3" t="inlineStr">
        <is>
          <t>평지</t>
        </is>
      </c>
      <c r="U3161" s="3" t="inlineStr">
        <is>
          <t>사다리형</t>
        </is>
      </c>
      <c r="V3161" s="3" t="inlineStr">
        <is>
          <t>세로한면(가)</t>
        </is>
      </c>
    </row>
    <row r="3162">
      <c r="A3162" s="3" t="inlineStr">
        <is>
          <t>현도면 매봉리 248-5</t>
        </is>
      </c>
      <c r="B3162" s="3" t="inlineStr">
        <is>
          <t>제1종일반주거지역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21000</v>
      </c>
      <c r="G3162" s="4" t="n">
        <v>359</v>
      </c>
      <c r="H3162" s="4" t="n">
        <v>109</v>
      </c>
      <c r="I3162" s="5" t="n">
        <v>192.7</v>
      </c>
      <c r="J3162" s="5" t="n">
        <v>90</v>
      </c>
      <c r="K3162" s="3" t="inlineStr">
        <is>
          <t>교통 편리한 지역 주택 및 창고 용지 적합한 나대지 매매</t>
        </is>
      </c>
      <c r="L3162" s="6">
        <f>HYPERLINK("https://fin.land.naver.com/articles/2651933999", "매물Link")</f>
        <v/>
      </c>
      <c r="M3162" s="6">
        <f>HYPERLINK("https://map.naver.com/p/search/현도면 매봉리 248-5", "지도Link")</f>
        <v/>
      </c>
      <c r="N3162" s="6">
        <f>HYPERLINK("http://www.eum.go.kr/web/ar/lu/luLandDet.jsp?pnu=4311232032102480005&amp;isNoScr=script&amp;mode=search",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359</v>
      </c>
      <c r="R3162" s="3" t="inlineStr">
        <is>
          <t>지정되지않음</t>
        </is>
      </c>
      <c r="S3162" s="3" t="inlineStr">
        <is>
          <t>단독</t>
        </is>
      </c>
      <c r="T3162" s="3" t="inlineStr">
        <is>
          <t>평지</t>
        </is>
      </c>
      <c r="U3162" s="3" t="inlineStr">
        <is>
          <t>부정형</t>
        </is>
      </c>
      <c r="V3162" s="3" t="inlineStr">
        <is>
          <t>세로각지(가)</t>
        </is>
      </c>
    </row>
    <row r="3163">
      <c r="A3163" s="3" t="inlineStr">
        <is>
          <t>현도면 매봉리 269-1</t>
        </is>
      </c>
      <c r="B3163" s="3" t="inlineStr">
        <is>
          <t>제2종일반주거지역</t>
        </is>
      </c>
      <c r="C3163" s="3" t="inlineStr">
        <is>
          <t>창고용지</t>
        </is>
      </c>
      <c r="D3163" s="3" t="inlineStr">
        <is>
          <t>창고용지</t>
        </is>
      </c>
      <c r="E3163" s="3" t="inlineStr">
        <is>
          <t>매매</t>
        </is>
      </c>
      <c r="F3163" s="4" t="n">
        <v>420000</v>
      </c>
      <c r="G3163" s="4" t="n">
        <v>3933</v>
      </c>
      <c r="H3163" s="4" t="n">
        <v>1190</v>
      </c>
      <c r="I3163" s="5" t="n">
        <v>352.9</v>
      </c>
      <c r="J3163" s="5" t="n">
        <v>84.90000000000001</v>
      </c>
      <c r="K3163" s="3" t="inlineStr">
        <is>
          <t>신탄진IC,남청주IC 가깝고 6차선 대로변에 위치, 광고효과 최고</t>
        </is>
      </c>
      <c r="L3163" s="6">
        <f>HYPERLINK("https://fin.land.naver.com/articles/2654290590", "매물Link")</f>
        <v/>
      </c>
      <c r="M3163" s="6">
        <f>HYPERLINK("https://map.naver.com/p/search/현도면 매봉리 269-1", "지도Link")</f>
        <v/>
      </c>
      <c r="N3163" s="6">
        <f>HYPERLINK("http://www.eum.go.kr/web/ar/lu/luLandDet.jsp?pnu=4311232032102690001&amp;isNoScr=script&amp;mode=search", "토지이음")</f>
        <v/>
      </c>
      <c r="O3163" s="3" t="inlineStr">
        <is>
          <t>(주)미르</t>
        </is>
      </c>
      <c r="P3163" s="4" t="n">
        <v>1</v>
      </c>
      <c r="Q3163" s="4" t="n">
        <v>1479</v>
      </c>
      <c r="R3163" s="3" t="inlineStr">
        <is>
          <t>지정되지않음</t>
        </is>
      </c>
      <c r="S3163" s="3" t="inlineStr">
        <is>
          <t>공업기타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매봉리 269-1</t>
        </is>
      </c>
      <c r="B3164" s="3" t="inlineStr">
        <is>
          <t>제2종일반주거지역</t>
        </is>
      </c>
      <c r="C3164" s="3" t="inlineStr">
        <is>
          <t>창고용지</t>
        </is>
      </c>
      <c r="D3164" s="3" t="inlineStr">
        <is>
          <t>대</t>
        </is>
      </c>
      <c r="E3164" s="3" t="inlineStr">
        <is>
          <t>매매</t>
        </is>
      </c>
      <c r="F3164" s="4" t="n">
        <v>420000</v>
      </c>
      <c r="G3164" s="4" t="n">
        <v>3934</v>
      </c>
      <c r="H3164" s="4" t="n">
        <v>1190</v>
      </c>
      <c r="I3164" s="5" t="n">
        <v>352.9</v>
      </c>
      <c r="J3164" s="5" t="n">
        <v>84.90000000000001</v>
      </c>
      <c r="K3164" s="3" t="inlineStr">
        <is>
          <t>즉시사용가능 4차선 대도로 광고 전시 효과 최상 회사 사옥  전시장 부지</t>
        </is>
      </c>
      <c r="L3164" s="6">
        <f>HYPERLINK("https://fin.land.naver.com/articles/2651939280", "매물Link")</f>
        <v/>
      </c>
      <c r="M3164" s="6">
        <f>HYPERLINK("https://map.naver.com/p/search/현도면 매봉리 269-1", "지도Link")</f>
        <v/>
      </c>
      <c r="N3164" s="6">
        <f>HYPERLINK("http://www.eum.go.kr/web/ar/lu/luLandDet.jsp?pnu=4311232032102690001&amp;isNoScr=script&amp;mode=search",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1479</v>
      </c>
      <c r="R3164" s="3" t="inlineStr">
        <is>
          <t>지정되지않음</t>
        </is>
      </c>
      <c r="S3164" s="3" t="inlineStr">
        <is>
          <t>공업기타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소로한면</t>
        </is>
      </c>
    </row>
    <row r="3165">
      <c r="A3165" s="3" t="inlineStr">
        <is>
          <t>현도면 매봉리 269-11</t>
        </is>
      </c>
      <c r="B3165" s="3" t="inlineStr">
        <is>
          <t>제2종일반주거지역</t>
        </is>
      </c>
      <c r="C3165" s="3" t="inlineStr">
        <is>
          <t>창고용지</t>
        </is>
      </c>
      <c r="D3165" s="3" t="inlineStr">
        <is>
          <t>창고용지</t>
        </is>
      </c>
      <c r="E3165" s="3" t="inlineStr">
        <is>
          <t>매매</t>
        </is>
      </c>
      <c r="F3165" s="4" t="n">
        <v>250000</v>
      </c>
      <c r="G3165" s="4" t="n">
        <v>2682</v>
      </c>
      <c r="H3165" s="4" t="n">
        <v>811</v>
      </c>
      <c r="I3165" s="5" t="n">
        <v>308.3</v>
      </c>
      <c r="J3165" s="5" t="n">
        <v>95.2</v>
      </c>
      <c r="K3165" s="3" t="inlineStr">
        <is>
          <t>창고,공장,사옥,전시장,프렌차이즈,대형카페 등으로 추천,차량 진출입 편리</t>
        </is>
      </c>
      <c r="L3165" s="6">
        <f>HYPERLINK("https://fin.land.naver.com/articles/2653723517", "매물Link")</f>
        <v/>
      </c>
      <c r="M3165" s="6">
        <f>HYPERLINK("https://map.naver.com/p/search/현도면 매봉리 269-11", "지도Link")</f>
        <v/>
      </c>
      <c r="N3165" s="6">
        <f>HYPERLINK("http://www.eum.go.kr/web/ar/lu/luLandDet.jsp?pnu=4311232032102690011&amp;isNoScr=script&amp;mode=search", "토지이음")</f>
        <v/>
      </c>
      <c r="O3165" s="3" t="inlineStr">
        <is>
          <t>금화랜드</t>
        </is>
      </c>
      <c r="P3165" s="4" t="n">
        <v>1</v>
      </c>
      <c r="Q3165" s="4" t="n">
        <v>1917</v>
      </c>
      <c r="R3165" s="3" t="inlineStr">
        <is>
          <t>지정되지않음</t>
        </is>
      </c>
      <c r="S3165" s="3" t="inlineStr">
        <is>
          <t>공업기타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중로한면</t>
        </is>
      </c>
    </row>
    <row r="3166">
      <c r="A3166" s="3" t="inlineStr">
        <is>
          <t>현도면 매봉리 311</t>
        </is>
      </c>
      <c r="B3166" s="3" t="inlineStr">
        <is>
          <t>제1종일반주거지역</t>
        </is>
      </c>
      <c r="C3166" s="3" t="inlineStr">
        <is>
          <t>전</t>
        </is>
      </c>
      <c r="D3166" s="3" t="inlineStr">
        <is>
          <t>전</t>
        </is>
      </c>
      <c r="E3166" s="3" t="inlineStr">
        <is>
          <t>매매</t>
        </is>
      </c>
      <c r="F3166" s="4" t="n">
        <v>42000</v>
      </c>
      <c r="G3166" s="4" t="n">
        <v>1161</v>
      </c>
      <c r="H3166" s="4" t="n">
        <v>351</v>
      </c>
      <c r="I3166" s="5" t="n">
        <v>119.7</v>
      </c>
      <c r="J3166" s="5" t="n">
        <v>62.9</v>
      </c>
      <c r="K3166" s="3" t="inlineStr">
        <is>
          <t>창고 공장 투자 농작용</t>
        </is>
      </c>
      <c r="L3166" s="6">
        <f>HYPERLINK("https://fin.land.naver.com/articles/2653467727", "매물Link")</f>
        <v/>
      </c>
      <c r="M3166" s="6">
        <f>HYPERLINK("https://map.naver.com/p/search/현도면 매봉리 311", "지도Link")</f>
        <v/>
      </c>
      <c r="N3166" s="6">
        <f>HYPERLINK("http://www.eum.go.kr/web/ar/lu/luLandDet.jsp?pnu=4311232032103110000&amp;isNoScr=script&amp;mode=search", "토지이음")</f>
        <v/>
      </c>
      <c r="O3166" s="3" t="inlineStr">
        <is>
          <t>브라운스톤행복</t>
        </is>
      </c>
      <c r="P3166" s="4" t="n">
        <v>1</v>
      </c>
      <c r="Q3166" s="4" t="n">
        <v>50</v>
      </c>
      <c r="R3166" s="3" t="inlineStr">
        <is>
          <t>지정되지않음</t>
        </is>
      </c>
      <c r="S3166" s="3" t="inlineStr">
        <is>
          <t>전</t>
        </is>
      </c>
      <c r="T3166" s="3" t="inlineStr">
        <is>
          <t>평지</t>
        </is>
      </c>
      <c r="U3166" s="3" t="inlineStr">
        <is>
          <t>사다리형</t>
        </is>
      </c>
      <c r="V3166" s="3" t="inlineStr">
        <is>
          <t>세로한면(가)</t>
        </is>
      </c>
    </row>
    <row r="3167">
      <c r="A3167" s="3" t="inlineStr">
        <is>
          <t>현도면 상삼리 117-1</t>
        </is>
      </c>
      <c r="B3167" s="3" t="inlineStr">
        <is>
          <t>계획관리지역</t>
        </is>
      </c>
      <c r="C3167" s="3" t="inlineStr">
        <is>
          <t>답</t>
        </is>
      </c>
      <c r="D3167" s="3" t="inlineStr">
        <is>
          <t>답</t>
        </is>
      </c>
      <c r="E3167" s="3" t="inlineStr">
        <is>
          <t>매매</t>
        </is>
      </c>
      <c r="F3167" s="4" t="n">
        <v>317500</v>
      </c>
      <c r="G3167" s="4" t="n">
        <v>10496</v>
      </c>
      <c r="H3167" s="4" t="n">
        <v>3175</v>
      </c>
      <c r="I3167" s="5" t="n">
        <v>100</v>
      </c>
      <c r="J3167" s="5" t="n">
        <v>21.9</v>
      </c>
      <c r="K3167" s="3" t="inlineStr">
        <is>
          <t>남청주IC 2km 계획관리 2차선도로접, 공장물류창고 신축 최적지</t>
        </is>
      </c>
      <c r="L3167" s="6">
        <f>HYPERLINK("https://fin.land.naver.com/articles/2654089309", "매물Link")</f>
        <v/>
      </c>
      <c r="M3167" s="6">
        <f>HYPERLINK("https://map.naver.com/p/search/현도면 상삼리 117-1", "지도Link")</f>
        <v/>
      </c>
      <c r="N3167" s="6">
        <f>HYPERLINK("http://www.eum.go.kr/web/ar/lu/luLandDet.jsp?pnu=4311232021101170001&amp;isNoScr=script&amp;mode=search", "토지이음")</f>
        <v/>
      </c>
      <c r="O3167" s="3" t="inlineStr">
        <is>
          <t>신탄진다온</t>
        </is>
      </c>
      <c r="P3167" s="4" t="n">
        <v>1</v>
      </c>
      <c r="Q3167" s="4" t="n">
        <v>2251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상삼리 117-1</t>
        </is>
      </c>
      <c r="B3168" s="3" t="inlineStr">
        <is>
          <t>계획관리지역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381000</v>
      </c>
      <c r="G3168" s="4" t="n">
        <v>10495</v>
      </c>
      <c r="H3168" s="4" t="n">
        <v>3175</v>
      </c>
      <c r="I3168" s="5" t="n">
        <v>120</v>
      </c>
      <c r="J3168" s="5" t="n">
        <v>21.9</v>
      </c>
      <c r="K3168" s="3" t="inlineStr">
        <is>
          <t>청주IC 인근 입니다  공장부지 창고부지 주차장 부지 넓고 좋습니다</t>
        </is>
      </c>
      <c r="L3168" s="6">
        <f>HYPERLINK("https://fin.land.naver.com/articles/2654596838", "매물Link")</f>
        <v/>
      </c>
      <c r="M3168" s="6">
        <f>HYPERLINK("https://map.naver.com/p/search/현도면 상삼리 117-1", "지도Link")</f>
        <v/>
      </c>
      <c r="N3168" s="6">
        <f>HYPERLINK("http://www.eum.go.kr/web/ar/lu/luLandDet.jsp?pnu=4311232021101170001&amp;isNoScr=script&amp;mode=search", "토지이음")</f>
        <v/>
      </c>
      <c r="O3168" s="3" t="inlineStr">
        <is>
          <t>동일스위트대표</t>
        </is>
      </c>
      <c r="P3168" s="4" t="n">
        <v>3</v>
      </c>
      <c r="Q3168" s="4" t="n">
        <v>2251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상삼리 117-1</t>
        </is>
      </c>
      <c r="B3169" s="3" t="inlineStr">
        <is>
          <t>계획관리지역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412750</v>
      </c>
      <c r="G3169" s="4" t="n">
        <v>10495</v>
      </c>
      <c r="H3169" s="4" t="n">
        <v>3175</v>
      </c>
      <c r="I3169" s="5" t="n">
        <v>130</v>
      </c>
      <c r="J3169" s="5" t="n">
        <v>21.9</v>
      </c>
      <c r="K3169" s="3" t="inlineStr">
        <is>
          <t>nan</t>
        </is>
      </c>
      <c r="L3169" s="6">
        <f>HYPERLINK("https://fin.land.naver.com/articles/2655863274", "매물Link")</f>
        <v/>
      </c>
      <c r="M3169" s="6">
        <f>HYPERLINK("https://map.naver.com/p/search/현도면 상삼리 117-1", "지도Link")</f>
        <v/>
      </c>
      <c r="N3169" s="6">
        <f>HYPERLINK("http://www.eum.go.kr/web/ar/lu/luLandDet.jsp?pnu=4311232021101170001&amp;isNoScr=script&amp;mode=search", "토지이음")</f>
        <v/>
      </c>
      <c r="O3169" s="3" t="inlineStr">
        <is>
          <t>청주합동</t>
        </is>
      </c>
      <c r="P3169" s="4" t="n">
        <v>3</v>
      </c>
      <c r="Q3169" s="4" t="n">
        <v>2251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상삼리 117-1</t>
        </is>
      </c>
      <c r="B3170" s="3" t="inlineStr">
        <is>
          <t>계획관리지역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380000</v>
      </c>
      <c r="G3170" s="4" t="n">
        <v>10496</v>
      </c>
      <c r="H3170" s="4" t="n">
        <v>3175</v>
      </c>
      <c r="I3170" s="5" t="n">
        <v>119.7</v>
      </c>
      <c r="J3170" s="5" t="n">
        <v>21.9</v>
      </c>
      <c r="K3170" s="3" t="inlineStr">
        <is>
          <t>남청주IC 인접한 토지 매매입니다.</t>
        </is>
      </c>
      <c r="L3170" s="6">
        <f>HYPERLINK("https://fin.land.naver.com/articles/2654924234", "매물Link")</f>
        <v/>
      </c>
      <c r="M3170" s="6">
        <f>HYPERLINK("https://map.naver.com/p/search/현도면 상삼리 117-1", "지도Link")</f>
        <v/>
      </c>
      <c r="N3170" s="6">
        <f>HYPERLINK("http://www.eum.go.kr/web/ar/lu/luLandDet.jsp?pnu=4311232021101170001&amp;isNoScr=script&amp;mode=search", "토지이음")</f>
        <v/>
      </c>
      <c r="O3170" s="3" t="inlineStr">
        <is>
          <t>테크노밸리  사무소</t>
        </is>
      </c>
      <c r="P3170" s="4" t="n">
        <v>1</v>
      </c>
      <c r="Q3170" s="4" t="n">
        <v>2251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세로한면(가)</t>
        </is>
      </c>
    </row>
    <row r="3171">
      <c r="A3171" s="3" t="inlineStr">
        <is>
          <t>현도면 상삼리 117-1</t>
        </is>
      </c>
      <c r="B3171" s="3" t="inlineStr">
        <is>
          <t>계획관리지역</t>
        </is>
      </c>
      <c r="C3171" s="3" t="inlineStr">
        <is>
          <t>답</t>
        </is>
      </c>
      <c r="D3171" s="3" t="inlineStr">
        <is>
          <t>답</t>
        </is>
      </c>
      <c r="E3171" s="3" t="inlineStr">
        <is>
          <t>매매</t>
        </is>
      </c>
      <c r="F3171" s="4" t="n">
        <v>317500</v>
      </c>
      <c r="G3171" s="4" t="n">
        <v>10496</v>
      </c>
      <c r="H3171" s="4" t="n">
        <v>3175</v>
      </c>
      <c r="I3171" s="5" t="n">
        <v>100</v>
      </c>
      <c r="J3171" s="5" t="n">
        <v>21.9</v>
      </c>
      <c r="K3171" s="3" t="inlineStr">
        <is>
          <t>남청주IC인근 2차선 도로접한 계획관리지역. 공장,물류창고 추천.</t>
        </is>
      </c>
      <c r="L3171" s="6">
        <f>HYPERLINK("https://fin.land.naver.com/articles/2653047094", "매물Link")</f>
        <v/>
      </c>
      <c r="M3171" s="6">
        <f>HYPERLINK("https://map.naver.com/p/search/현도면 상삼리 117-1", "지도Link")</f>
        <v/>
      </c>
      <c r="N3171" s="6">
        <f>HYPERLINK("http://www.eum.go.kr/web/ar/lu/luLandDet.jsp?pnu=4311232021101170001&amp;isNoScr=script&amp;mode=search", "토지이음")</f>
        <v/>
      </c>
      <c r="O3171" s="3" t="inlineStr">
        <is>
          <t>세종대장</t>
        </is>
      </c>
      <c r="P3171" s="4" t="n">
        <v>1</v>
      </c>
      <c r="Q3171" s="4" t="n">
        <v>2251</v>
      </c>
      <c r="R3171" s="3" t="inlineStr">
        <is>
          <t>지정되지않음</t>
        </is>
      </c>
      <c r="S3171" s="3" t="inlineStr">
        <is>
          <t>답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상삼리 122</t>
        </is>
      </c>
      <c r="B3172" s="3" t="inlineStr">
        <is>
          <t>계획관리지역</t>
        </is>
      </c>
      <c r="C3172" s="3" t="inlineStr">
        <is>
          <t>답</t>
        </is>
      </c>
      <c r="D3172" s="3" t="inlineStr">
        <is>
          <t>답</t>
        </is>
      </c>
      <c r="E3172" s="3" t="inlineStr">
        <is>
          <t>매매</t>
        </is>
      </c>
      <c r="F3172" s="4" t="n">
        <v>381000</v>
      </c>
      <c r="G3172" s="4" t="n">
        <v>10496</v>
      </c>
      <c r="H3172" s="4" t="n">
        <v>3175</v>
      </c>
      <c r="I3172" s="5" t="n">
        <v>120</v>
      </c>
      <c r="J3172" s="5" t="n">
        <v>24.1</v>
      </c>
      <c r="K3172" s="3" t="inlineStr">
        <is>
          <t>OK. 급매. 계획관리지역, 성장관리계획구역.</t>
        </is>
      </c>
      <c r="L3172" s="6">
        <f>HYPERLINK("https://fin.land.naver.com/articles/2654953572", "매물Link")</f>
        <v/>
      </c>
      <c r="M3172" s="6">
        <f>HYPERLINK("https://map.naver.com/p/search/현도면 상삼리 122", "지도Link")</f>
        <v/>
      </c>
      <c r="N3172" s="6">
        <f>HYPERLINK("http://www.eum.go.kr/web/ar/lu/luLandDet.jsp?pnu=4311232021101220000&amp;isNoScr=script&amp;mode=search", "토지이음")</f>
        <v/>
      </c>
      <c r="O3172" s="3" t="inlineStr">
        <is>
          <t>OK</t>
        </is>
      </c>
      <c r="P3172" s="4" t="n">
        <v>1</v>
      </c>
      <c r="Q3172" s="4" t="n">
        <v>1718</v>
      </c>
      <c r="R3172" s="3" t="inlineStr">
        <is>
          <t>지정되지않음</t>
        </is>
      </c>
      <c r="S3172" s="3" t="inlineStr">
        <is>
          <t>답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소로한면</t>
        </is>
      </c>
    </row>
    <row r="3173">
      <c r="A3173" s="3" t="inlineStr">
        <is>
          <t>현도면 상삼리 122</t>
        </is>
      </c>
      <c r="B3173" s="3" t="inlineStr">
        <is>
          <t>계획관리지역</t>
        </is>
      </c>
      <c r="C3173" s="3" t="inlineStr">
        <is>
          <t>답</t>
        </is>
      </c>
      <c r="D3173" s="3" t="inlineStr">
        <is>
          <t>답</t>
        </is>
      </c>
      <c r="E3173" s="3" t="inlineStr">
        <is>
          <t>매매</t>
        </is>
      </c>
      <c r="F3173" s="4" t="n">
        <v>317500</v>
      </c>
      <c r="G3173" s="4" t="n">
        <v>10496</v>
      </c>
      <c r="H3173" s="4" t="n">
        <v>3175</v>
      </c>
      <c r="I3173" s="5" t="n">
        <v>100</v>
      </c>
      <c r="J3173" s="5" t="n">
        <v>24.1</v>
      </c>
      <c r="K3173" s="3" t="inlineStr">
        <is>
          <t>남청주ic 부근 물류창고부지 계획관리 2차선변</t>
        </is>
      </c>
      <c r="L3173" s="6">
        <f>HYPERLINK("https://fin.land.naver.com/articles/2652728751", "매물Link")</f>
        <v/>
      </c>
      <c r="M3173" s="6">
        <f>HYPERLINK("https://map.naver.com/p/search/현도면 상삼리 122", "지도Link")</f>
        <v/>
      </c>
      <c r="N3173" s="6">
        <f>HYPERLINK("http://www.eum.go.kr/web/ar/lu/luLandDet.jsp?pnu=4311232021101220000&amp;isNoScr=script&amp;mode=search", "토지이음")</f>
        <v/>
      </c>
      <c r="O3173" s="3" t="inlineStr">
        <is>
          <t>세종이룸</t>
        </is>
      </c>
      <c r="P3173" s="4" t="n">
        <v>1</v>
      </c>
      <c r="Q3173" s="4" t="n">
        <v>1718</v>
      </c>
      <c r="R3173" s="3" t="inlineStr">
        <is>
          <t>지정되지않음</t>
        </is>
      </c>
      <c r="S3173" s="3" t="inlineStr">
        <is>
          <t>답</t>
        </is>
      </c>
      <c r="T3173" s="3" t="inlineStr">
        <is>
          <t>완경사</t>
        </is>
      </c>
      <c r="U3173" s="3" t="inlineStr">
        <is>
          <t>부정형</t>
        </is>
      </c>
      <c r="V3173" s="3" t="inlineStr">
        <is>
          <t>소로한면</t>
        </is>
      </c>
    </row>
    <row r="3174">
      <c r="A3174" s="3" t="inlineStr">
        <is>
          <t>현도면 상삼리 122</t>
        </is>
      </c>
      <c r="B3174" s="3" t="inlineStr">
        <is>
          <t>계획관리지역</t>
        </is>
      </c>
      <c r="C3174" s="3" t="inlineStr">
        <is>
          <t>답</t>
        </is>
      </c>
      <c r="D3174" s="3" t="inlineStr">
        <is>
          <t>답</t>
        </is>
      </c>
      <c r="E3174" s="3" t="inlineStr">
        <is>
          <t>매매</t>
        </is>
      </c>
      <c r="F3174" s="4" t="n">
        <v>317000</v>
      </c>
      <c r="G3174" s="4" t="n">
        <v>10496</v>
      </c>
      <c r="H3174" s="4" t="n">
        <v>3175</v>
      </c>
      <c r="I3174" s="5" t="n">
        <v>99.8</v>
      </c>
      <c r="J3174" s="5" t="n">
        <v>24.1</v>
      </c>
      <c r="K3174" s="3" t="inlineStr">
        <is>
          <t>남청주IC 5분, 2차선 도로변 현도면 대형 공장부지, 물류창고부지 급매</t>
        </is>
      </c>
      <c r="L3174" s="6">
        <f>HYPERLINK("https://fin.land.naver.com/articles/2654665727", "매물Link")</f>
        <v/>
      </c>
      <c r="M3174" s="6">
        <f>HYPERLINK("https://map.naver.com/p/search/현도면 상삼리 122", "지도Link")</f>
        <v/>
      </c>
      <c r="N3174" s="6">
        <f>HYPERLINK("http://www.eum.go.kr/web/ar/lu/luLandDet.jsp?pnu=4311232021101220000&amp;isNoScr=script&amp;mode=search", "토지이음")</f>
        <v/>
      </c>
      <c r="O3174" s="3" t="inlineStr">
        <is>
          <t>청담</t>
        </is>
      </c>
      <c r="P3174" s="4" t="n">
        <v>1</v>
      </c>
      <c r="Q3174" s="4" t="n">
        <v>1718</v>
      </c>
      <c r="R3174" s="3" t="inlineStr">
        <is>
          <t>지정되지않음</t>
        </is>
      </c>
      <c r="S3174" s="3" t="inlineStr">
        <is>
          <t>답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소로한면</t>
        </is>
      </c>
    </row>
    <row r="3175">
      <c r="A3175" s="3" t="inlineStr">
        <is>
          <t>현도면 상삼리 122</t>
        </is>
      </c>
      <c r="B3175" s="3" t="inlineStr">
        <is>
          <t>계획관리지역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380000</v>
      </c>
      <c r="G3175" s="4" t="n">
        <v>10496</v>
      </c>
      <c r="H3175" s="4" t="n">
        <v>3175</v>
      </c>
      <c r="I3175" s="5" t="n">
        <v>119.7</v>
      </c>
      <c r="J3175" s="5" t="n">
        <v>24.1</v>
      </c>
      <c r="K3175" s="3" t="inlineStr">
        <is>
          <t>즉시 건축 가능한  2차선 도로 접한 공장 및 창고 부지</t>
        </is>
      </c>
      <c r="L3175" s="6">
        <f>HYPERLINK("https://fin.land.naver.com/articles/2651916730", "매물Link")</f>
        <v/>
      </c>
      <c r="M3175" s="6">
        <f>HYPERLINK("https://map.naver.com/p/search/현도면 상삼리 122", "지도Link")</f>
        <v/>
      </c>
      <c r="N3175" s="6">
        <f>HYPERLINK("http://www.eum.go.kr/web/ar/lu/luLandDet.jsp?pnu=4311232021101220000&amp;isNoScr=script&amp;mode=search", "토지이음")</f>
        <v/>
      </c>
      <c r="O3175" s="3" t="inlineStr">
        <is>
          <t>대전토지로무소</t>
        </is>
      </c>
      <c r="P3175" s="4" t="n">
        <v>1</v>
      </c>
      <c r="Q3175" s="4" t="n">
        <v>1718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소로한면</t>
        </is>
      </c>
    </row>
    <row r="3176">
      <c r="A3176" s="3" t="inlineStr">
        <is>
          <t>현도면 상삼리 141</t>
        </is>
      </c>
      <c r="B3176" s="3" t="inlineStr">
        <is>
          <t>계획관리지역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100000</v>
      </c>
      <c r="G3176" s="4" t="n">
        <v>2648</v>
      </c>
      <c r="H3176" s="4" t="n">
        <v>801</v>
      </c>
      <c r="I3176" s="5" t="n">
        <v>124.8</v>
      </c>
      <c r="J3176" s="5" t="n">
        <v>42.7</v>
      </c>
      <c r="K3176" s="3" t="inlineStr">
        <is>
          <t>현재토지에  A동 단층주택 B동은 창고로 사용하고있음</t>
        </is>
      </c>
      <c r="L3176" s="6">
        <f>HYPERLINK("https://fin.land.naver.com/articles/2652036405", "매물Link")</f>
        <v/>
      </c>
      <c r="M3176" s="6">
        <f>HYPERLINK("https://map.naver.com/p/search/현도면 상삼리 141", "지도Link")</f>
        <v/>
      </c>
      <c r="N3176" s="6">
        <f>HYPERLINK("http://www.eum.go.kr/web/ar/lu/luLandDet.jsp?pnu=4311232021101410000&amp;isNoScr=script&amp;mode=search", "토지이음")</f>
        <v/>
      </c>
      <c r="O3176" s="3" t="inlineStr">
        <is>
          <t>사랑방</t>
        </is>
      </c>
      <c r="P3176" s="4" t="n">
        <v>1</v>
      </c>
      <c r="Q3176" s="4" t="n">
        <v>2648</v>
      </c>
      <c r="R3176" s="3" t="inlineStr">
        <is>
          <t>지정되지않음</t>
        </is>
      </c>
      <c r="S3176" s="3" t="inlineStr">
        <is>
          <t>단독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상삼리 141</t>
        </is>
      </c>
      <c r="B3177" s="3" t="inlineStr">
        <is>
          <t>계획관리지역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100000</v>
      </c>
      <c r="G3177" s="4" t="n">
        <v>3101</v>
      </c>
      <c r="H3177" s="4" t="n">
        <v>938</v>
      </c>
      <c r="I3177" s="5" t="n">
        <v>106.6</v>
      </c>
      <c r="J3177" s="5" t="n">
        <v>42.7</v>
      </c>
      <c r="K3177" s="3" t="inlineStr">
        <is>
          <t>주변 시세보다 저렴한 공장 및 창고 부지</t>
        </is>
      </c>
      <c r="L3177" s="6">
        <f>HYPERLINK("https://fin.land.naver.com/articles/2655402899", "매물Link")</f>
        <v/>
      </c>
      <c r="M3177" s="6">
        <f>HYPERLINK("https://map.naver.com/p/search/현도면 상삼리 141", "지도Link")</f>
        <v/>
      </c>
      <c r="N3177" s="6">
        <f>HYPERLINK("http://www.eum.go.kr/web/ar/lu/luLandDet.jsp?pnu=4311232021101410000&amp;isNoScr=script&amp;mode=search", "토지이음")</f>
        <v/>
      </c>
      <c r="O3177" s="3" t="inlineStr">
        <is>
          <t>대전토지로무소</t>
        </is>
      </c>
      <c r="P3177" s="4" t="n">
        <v>1</v>
      </c>
      <c r="Q3177" s="4" t="n">
        <v>2648</v>
      </c>
      <c r="R3177" s="3" t="inlineStr">
        <is>
          <t>지정되지않음</t>
        </is>
      </c>
      <c r="S3177" s="3" t="inlineStr">
        <is>
          <t>단독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세로한면(가)</t>
        </is>
      </c>
    </row>
    <row r="3178">
      <c r="A3178" s="3" t="inlineStr">
        <is>
          <t>현도면 상삼리 195-1</t>
        </is>
      </c>
      <c r="B3178" s="3" t="inlineStr">
        <is>
          <t>계획관리지역</t>
        </is>
      </c>
      <c r="C3178" s="3" t="inlineStr">
        <is>
          <t>전</t>
        </is>
      </c>
      <c r="D3178" s="3" t="inlineStr">
        <is>
          <t>대</t>
        </is>
      </c>
      <c r="E3178" s="3" t="inlineStr">
        <is>
          <t>매매</t>
        </is>
      </c>
      <c r="F3178" s="4" t="n">
        <v>406000</v>
      </c>
      <c r="G3178" s="4" t="n">
        <v>10341</v>
      </c>
      <c r="H3178" s="4" t="n">
        <v>3128</v>
      </c>
      <c r="I3178" s="5" t="n">
        <v>129.8</v>
      </c>
      <c r="J3178" s="5" t="n">
        <v>21.4</v>
      </c>
      <c r="K3178" s="3" t="inlineStr">
        <is>
          <t>남청주IC 2분, 물류센터,공장 추천,산업단지 부근 계획관리지역 토지</t>
        </is>
      </c>
      <c r="L3178" s="6">
        <f>HYPERLINK("https://fin.land.naver.com/articles/2655898083", "매물Link")</f>
        <v/>
      </c>
      <c r="M3178" s="6">
        <f>HYPERLINK("https://map.naver.com/p/search/현도면 상삼리 195-1", "지도Link")</f>
        <v/>
      </c>
      <c r="N3178" s="6">
        <f>HYPERLINK("http://www.eum.go.kr/web/ar/lu/luLandDet.jsp?pnu=4311232021101950001&amp;isNoScr=script&amp;mode=search", "토지이음")</f>
        <v/>
      </c>
      <c r="O3178" s="3" t="inlineStr">
        <is>
          <t>(주)미르</t>
        </is>
      </c>
      <c r="P3178" s="4" t="n">
        <v>3</v>
      </c>
      <c r="Q3178" s="4" t="n">
        <v>1530</v>
      </c>
      <c r="R3178" s="3" t="inlineStr">
        <is>
          <t>지정되지않음</t>
        </is>
      </c>
      <c r="S3178" s="3" t="inlineStr">
        <is>
          <t>전</t>
        </is>
      </c>
      <c r="T3178" s="3" t="inlineStr">
        <is>
          <t>완경사</t>
        </is>
      </c>
      <c r="U3178" s="3" t="inlineStr">
        <is>
          <t>부정형</t>
        </is>
      </c>
      <c r="V3178" s="3" t="inlineStr">
        <is>
          <t>맹지</t>
        </is>
      </c>
    </row>
    <row r="3179">
      <c r="A3179" s="3" t="inlineStr">
        <is>
          <t>현도면 상삼리 243</t>
        </is>
      </c>
      <c r="B3179" s="3" t="inlineStr">
        <is>
          <t>계획관리지역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13000</v>
      </c>
      <c r="G3179" s="4" t="n">
        <v>893</v>
      </c>
      <c r="H3179" s="4" t="n">
        <v>270</v>
      </c>
      <c r="I3179" s="5" t="n">
        <v>48.1</v>
      </c>
      <c r="J3179" s="5" t="n">
        <v>38.5</v>
      </c>
      <c r="K3179" s="3" t="inlineStr">
        <is>
          <t>nan</t>
        </is>
      </c>
      <c r="L3179" s="6">
        <f>HYPERLINK("https://fin.land.naver.com/articles/2651444147", "매물Link")</f>
        <v/>
      </c>
      <c r="M3179" s="6">
        <f>HYPERLINK("https://map.naver.com/p/search/현도면 상삼리 243", "지도Link")</f>
        <v/>
      </c>
      <c r="N3179" s="6">
        <f>HYPERLINK("http://www.eum.go.kr/web/ar/lu/luLandDet.jsp?pnu=4311232021102430000&amp;isNoScr=script&amp;mode=search", "토지이음")</f>
        <v/>
      </c>
      <c r="O3179" s="3" t="inlineStr">
        <is>
          <t>오송베스트</t>
        </is>
      </c>
      <c r="P3179" s="4" t="n">
        <v>1</v>
      </c>
      <c r="Q3179" s="4" t="n">
        <v>893</v>
      </c>
      <c r="R3179" s="3" t="inlineStr">
        <is>
          <t>지정되지않음</t>
        </is>
      </c>
      <c r="S3179" s="3" t="inlineStr">
        <is>
          <t>단독</t>
        </is>
      </c>
      <c r="T3179" s="3" t="inlineStr">
        <is>
          <t>완경사</t>
        </is>
      </c>
      <c r="U3179" s="3" t="inlineStr">
        <is>
          <t>부정형</t>
        </is>
      </c>
      <c r="V3179" s="3" t="inlineStr">
        <is>
          <t>세로한면(불)</t>
        </is>
      </c>
    </row>
    <row r="3180">
      <c r="A3180" s="3" t="inlineStr">
        <is>
          <t>현도면 상삼리 256-4</t>
        </is>
      </c>
      <c r="B3180" s="3" t="inlineStr">
        <is>
          <t>계획관리지역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12300</v>
      </c>
      <c r="G3180" s="4" t="n">
        <v>681</v>
      </c>
      <c r="H3180" s="4" t="n">
        <v>206</v>
      </c>
      <c r="I3180" s="5" t="n">
        <v>59.7</v>
      </c>
      <c r="J3180" s="5" t="n">
        <v>40.4</v>
      </c>
      <c r="K3180" s="3" t="inlineStr">
        <is>
          <t>주택신축부지매매 구옥철거필요함</t>
        </is>
      </c>
      <c r="L3180" s="6">
        <f>HYPERLINK("https://fin.land.naver.com/articles/2652834840", "매물Link")</f>
        <v/>
      </c>
      <c r="M3180" s="6">
        <f>HYPERLINK("https://map.naver.com/p/search/현도면 상삼리 256-4", "지도Link")</f>
        <v/>
      </c>
      <c r="N3180" s="6">
        <f>HYPERLINK("http://www.eum.go.kr/web/ar/lu/luLandDet.jsp?pnu=4311232021102560004&amp;isNoScr=script&amp;mode=search", "토지이음")</f>
        <v/>
      </c>
      <c r="O3180" s="3" t="inlineStr">
        <is>
          <t>거림합동</t>
        </is>
      </c>
      <c r="P3180" s="4" t="n">
        <v>1</v>
      </c>
      <c r="Q3180" s="4" t="n">
        <v>681</v>
      </c>
      <c r="R3180" s="3" t="inlineStr">
        <is>
          <t>지정되지않음</t>
        </is>
      </c>
      <c r="S3180" s="3" t="inlineStr">
        <is>
          <t>단독</t>
        </is>
      </c>
      <c r="T3180" s="3" t="inlineStr">
        <is>
          <t>완경사</t>
        </is>
      </c>
      <c r="U3180" s="3" t="inlineStr">
        <is>
          <t>사다리형</t>
        </is>
      </c>
      <c r="V3180" s="3" t="inlineStr">
        <is>
          <t>세로한면(불)</t>
        </is>
      </c>
    </row>
    <row r="3181">
      <c r="A3181" s="3" t="inlineStr">
        <is>
          <t>현도면 상삼리 260-1</t>
        </is>
      </c>
      <c r="B3181" s="3" t="inlineStr">
        <is>
          <t>계획관리지역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74800</v>
      </c>
      <c r="G3181" s="4" t="n">
        <v>3099</v>
      </c>
      <c r="H3181" s="4" t="n">
        <v>937</v>
      </c>
      <c r="I3181" s="5" t="n">
        <v>79.8</v>
      </c>
      <c r="J3181" s="5" t="n">
        <v>38.8</v>
      </c>
      <c r="K3181" s="3" t="inlineStr">
        <is>
          <t>지목이 대지라 농지전용없이 건축가능, 공장 및 창고 등 용도다양함</t>
        </is>
      </c>
      <c r="L3181" s="6">
        <f>HYPERLINK("https://fin.land.naver.com/articles/2654901453", "매물Link")</f>
        <v/>
      </c>
      <c r="M3181" s="6">
        <f>HYPERLINK("https://map.naver.com/p/search/현도면 상삼리 260-1", "지도Link")</f>
        <v/>
      </c>
      <c r="N3181" s="6">
        <f>HYPERLINK("http://www.eum.go.kr/web/ar/lu/luLandDet.jsp?pnu=4311232021102600001&amp;isNoScr=script&amp;mode=search",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3012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상삼리 293</t>
        </is>
      </c>
      <c r="B3182" s="3" t="inlineStr">
        <is>
          <t>계획관리지역</t>
        </is>
      </c>
      <c r="C3182" s="3" t="inlineStr">
        <is>
          <t>전</t>
        </is>
      </c>
      <c r="D3182" s="3" t="inlineStr">
        <is>
          <t>전</t>
        </is>
      </c>
      <c r="E3182" s="3" t="inlineStr">
        <is>
          <t>매매</t>
        </is>
      </c>
      <c r="F3182" s="4" t="n">
        <v>25900</v>
      </c>
      <c r="G3182" s="4" t="n">
        <v>2446</v>
      </c>
      <c r="H3182" s="4" t="n">
        <v>740</v>
      </c>
      <c r="I3182" s="5" t="n">
        <v>35</v>
      </c>
      <c r="J3182" s="5" t="n">
        <v>20.8</v>
      </c>
      <c r="K3182" s="3" t="inlineStr">
        <is>
          <t>농로 있음, 계획관리지역, 성장관리계획구역</t>
        </is>
      </c>
      <c r="L3182" s="6">
        <f>HYPERLINK("https://fin.land.naver.com/articles/2655015793", "매물Link")</f>
        <v/>
      </c>
      <c r="M3182" s="6">
        <f>HYPERLINK("https://map.naver.com/p/search/현도면 상삼리 293", "지도Link")</f>
        <v/>
      </c>
      <c r="N3182" s="6">
        <f>HYPERLINK("http://www.eum.go.kr/web/ar/lu/luLandDet.jsp?pnu=4311232021102930000&amp;isNoScr=script&amp;mode=search", "토지이음")</f>
        <v/>
      </c>
      <c r="O3182" s="3" t="inlineStr">
        <is>
          <t>복돼지</t>
        </is>
      </c>
      <c r="P3182" s="4" t="n">
        <v>1</v>
      </c>
      <c r="Q3182" s="4" t="n">
        <v>2446</v>
      </c>
      <c r="R3182" s="3" t="inlineStr">
        <is>
          <t>지정되지않음</t>
        </is>
      </c>
      <c r="S3182" s="3" t="inlineStr">
        <is>
          <t>전</t>
        </is>
      </c>
      <c r="T3182" s="3" t="inlineStr">
        <is>
          <t>완경사</t>
        </is>
      </c>
      <c r="U3182" s="3" t="inlineStr">
        <is>
          <t>부정형</t>
        </is>
      </c>
      <c r="V3182" s="3" t="inlineStr">
        <is>
          <t>세로한면(가)</t>
        </is>
      </c>
    </row>
    <row r="3183">
      <c r="A3183" s="3" t="inlineStr">
        <is>
          <t>현도면 시동리 126</t>
        </is>
      </c>
      <c r="B3183" s="3" t="inlineStr">
        <is>
          <t>개발제한구역</t>
        </is>
      </c>
      <c r="C3183" s="3" t="inlineStr">
        <is>
          <t>답</t>
        </is>
      </c>
      <c r="D3183" s="3" t="inlineStr">
        <is>
          <t>답</t>
        </is>
      </c>
      <c r="E3183" s="3" t="inlineStr">
        <is>
          <t>매매</t>
        </is>
      </c>
      <c r="F3183" s="4" t="n">
        <v>18900</v>
      </c>
      <c r="G3183" s="4" t="n">
        <v>3117</v>
      </c>
      <c r="H3183" s="4" t="n">
        <v>943</v>
      </c>
      <c r="I3183" s="5" t="n">
        <v>20</v>
      </c>
      <c r="J3183" s="5" t="n">
        <v>9.199999999999999</v>
      </c>
      <c r="K3183" s="3" t="inlineStr">
        <is>
          <t>복토후 밭으로 사용가능하며 투자용으로 적격입니다</t>
        </is>
      </c>
      <c r="L3183" s="6">
        <f>HYPERLINK("https://fin.land.naver.com/articles/2652711749", "매물Link")</f>
        <v/>
      </c>
      <c r="M3183" s="6">
        <f>HYPERLINK("https://map.naver.com/p/search/현도면 시동리 126", "지도Link")</f>
        <v/>
      </c>
      <c r="N3183" s="6">
        <f>HYPERLINK("http://www.eum.go.kr/web/ar/lu/luLandDet.jsp?pnu=4311232025101260000&amp;isNoScr=script&amp;mode=search", "토지이음")</f>
        <v/>
      </c>
      <c r="O3183" s="3" t="inlineStr">
        <is>
          <t>대웅</t>
        </is>
      </c>
      <c r="P3183" s="4" t="n">
        <v>1</v>
      </c>
      <c r="Q3183" s="4" t="n">
        <v>3117</v>
      </c>
      <c r="R3183" s="3" t="inlineStr">
        <is>
          <t>지정되지않음</t>
        </is>
      </c>
      <c r="S3183" s="3" t="inlineStr">
        <is>
          <t>답</t>
        </is>
      </c>
      <c r="T3183" s="3" t="inlineStr">
        <is>
          <t>완경사</t>
        </is>
      </c>
      <c r="U3183" s="3" t="inlineStr">
        <is>
          <t>부정형</t>
        </is>
      </c>
      <c r="V3183" s="3" t="inlineStr">
        <is>
          <t>세로한면(불)</t>
        </is>
      </c>
    </row>
    <row r="3184">
      <c r="A3184" s="3" t="inlineStr">
        <is>
          <t>현도면 시동리 218</t>
        </is>
      </c>
      <c r="B3184" s="3" t="inlineStr">
        <is>
          <t>생산관리지역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17000</v>
      </c>
      <c r="G3184" s="4" t="n">
        <v>761</v>
      </c>
      <c r="H3184" s="4" t="n">
        <v>230</v>
      </c>
      <c r="I3184" s="5" t="n">
        <v>73.90000000000001</v>
      </c>
      <c r="J3184" s="5" t="n">
        <v>29</v>
      </c>
      <c r="K3184" s="3" t="inlineStr">
        <is>
          <t>도로옆으로 국유지 약 100여평이상 무상으로 사용중 입니다</t>
        </is>
      </c>
      <c r="L3184" s="6">
        <f>HYPERLINK("https://fin.land.naver.com/articles/2652712084", "매물Link")</f>
        <v/>
      </c>
      <c r="M3184" s="6">
        <f>HYPERLINK("https://map.naver.com/p/search/현도면 시동리 218", "지도Link")</f>
        <v/>
      </c>
      <c r="N3184" s="6">
        <f>HYPERLINK("http://www.eum.go.kr/web/ar/lu/luLandDet.jsp?pnu=4311232025102180000&amp;isNoScr=script&amp;mode=search", "토지이음")</f>
        <v/>
      </c>
      <c r="O3184" s="3" t="inlineStr">
        <is>
          <t>대웅</t>
        </is>
      </c>
      <c r="P3184" s="4" t="n">
        <v>1</v>
      </c>
      <c r="Q3184" s="4" t="n">
        <v>761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시동리 297</t>
        </is>
      </c>
      <c r="B3185" s="3" t="inlineStr">
        <is>
          <t>개발제한구역</t>
        </is>
      </c>
      <c r="C3185" s="3" t="inlineStr">
        <is>
          <t>전</t>
        </is>
      </c>
      <c r="D3185" s="3" t="inlineStr">
        <is>
          <t>전</t>
        </is>
      </c>
      <c r="E3185" s="3" t="inlineStr">
        <is>
          <t>매매</t>
        </is>
      </c>
      <c r="F3185" s="4" t="n">
        <v>26000</v>
      </c>
      <c r="G3185" s="4" t="n">
        <v>2142</v>
      </c>
      <c r="H3185" s="4" t="n">
        <v>648</v>
      </c>
      <c r="I3185" s="5" t="n">
        <v>40.1</v>
      </c>
      <c r="J3185" s="5" t="n">
        <v>6.8</v>
      </c>
      <c r="K3185" s="3" t="inlineStr">
        <is>
          <t>도로인접, 차량진입 가능, 수도, 전기, 컨테이너</t>
        </is>
      </c>
      <c r="L3185" s="6">
        <f>HYPERLINK("https://fin.land.naver.com/articles/2654568689", "매물Link")</f>
        <v/>
      </c>
      <c r="M3185" s="6">
        <f>HYPERLINK("https://map.naver.com/p/search/현도면 시동리 297", "지도Link")</f>
        <v/>
      </c>
      <c r="N3185" s="6">
        <f>HYPERLINK("http://www.eum.go.kr/web/ar/lu/luLandDet.jsp?pnu=4311232025102970000&amp;isNoScr=script&amp;mode=search", "토지이음")</f>
        <v/>
      </c>
      <c r="O3185" s="3" t="inlineStr">
        <is>
          <t>대지</t>
        </is>
      </c>
      <c r="P3185" s="4" t="n">
        <v>1</v>
      </c>
      <c r="Q3185" s="4" t="n">
        <v>2142</v>
      </c>
      <c r="R3185" s="3" t="inlineStr">
        <is>
          <t>지정되지않음</t>
        </is>
      </c>
      <c r="S3185" s="3" t="inlineStr">
        <is>
          <t>전</t>
        </is>
      </c>
      <c r="T3185" s="3" t="inlineStr">
        <is>
          <t>완경사</t>
        </is>
      </c>
      <c r="U3185" s="3" t="inlineStr">
        <is>
          <t>부정형</t>
        </is>
      </c>
      <c r="V3185" s="3" t="inlineStr">
        <is>
          <t>세로한면(불)</t>
        </is>
      </c>
    </row>
    <row r="3186">
      <c r="A3186" s="3" t="inlineStr">
        <is>
          <t>현도면 양지리 230-8</t>
        </is>
      </c>
      <c r="B3186" s="3" t="inlineStr">
        <is>
          <t>제1종일반주거지역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47000</v>
      </c>
      <c r="G3186" s="4" t="n">
        <v>1109</v>
      </c>
      <c r="H3186" s="4" t="n">
        <v>335</v>
      </c>
      <c r="I3186" s="5" t="n">
        <v>140.3</v>
      </c>
      <c r="J3186" s="5" t="n">
        <v>39.4</v>
      </c>
      <c r="K3186" s="3" t="inlineStr">
        <is>
          <t>즉시 사용 가능한 주거지역 토지 도로 접한 해 잘 드는 창고 주택 용지</t>
        </is>
      </c>
      <c r="L3186" s="6">
        <f>HYPERLINK("https://fin.land.naver.com/articles/2651947076", "매물Link")</f>
        <v/>
      </c>
      <c r="M3186" s="6">
        <f>HYPERLINK("https://map.naver.com/p/search/현도면 양지리 230-8", "지도Link")</f>
        <v/>
      </c>
      <c r="N3186" s="6">
        <f>HYPERLINK("http://www.eum.go.kr/web/ar/lu/luLandDet.jsp?pnu=4311232033102300008&amp;isNoScr=script&amp;mode=search",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1037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세로한면(가)</t>
        </is>
      </c>
    </row>
    <row r="3187">
      <c r="A3187" s="3" t="inlineStr">
        <is>
          <t>현도면 양지리 41-8</t>
        </is>
      </c>
      <c r="B3187" s="3" t="inlineStr">
        <is>
          <t>개발제한구역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500000</v>
      </c>
      <c r="G3187" s="4" t="n">
        <v>6126</v>
      </c>
      <c r="H3187" s="4" t="n">
        <v>1853</v>
      </c>
      <c r="I3187" s="5" t="n">
        <v>269.8</v>
      </c>
      <c r="J3187" s="5" t="n">
        <v>100.5</v>
      </c>
      <c r="K3187" s="3" t="inlineStr">
        <is>
          <t>17번 국도에 접하고 금강을 마주보는 천혜의 요지, 카페 가든 최적지</t>
        </is>
      </c>
      <c r="L3187" s="6">
        <f>HYPERLINK("https://fin.land.naver.com/articles/2654902415", "매물Link")</f>
        <v/>
      </c>
      <c r="M3187" s="6">
        <f>HYPERLINK("https://map.naver.com/p/search/현도면 양지리 41-8", "지도Link")</f>
        <v/>
      </c>
      <c r="N3187" s="6">
        <f>HYPERLINK("http://www.eum.go.kr/web/ar/lu/luLandDet.jsp?pnu=4311232033100410008&amp;isNoScr=script&amp;mode=search", "토지이음")</f>
        <v/>
      </c>
      <c r="O3187" s="3" t="inlineStr">
        <is>
          <t>대전토지로무소</t>
        </is>
      </c>
      <c r="P3187" s="4" t="n">
        <v>1</v>
      </c>
      <c r="Q3187" s="4" t="n">
        <v>797</v>
      </c>
      <c r="R3187" s="3" t="inlineStr">
        <is>
          <t>지정되지않음</t>
        </is>
      </c>
      <c r="S3187" s="3" t="inlineStr">
        <is>
          <t>상업용</t>
        </is>
      </c>
      <c r="T3187" s="3" t="inlineStr">
        <is>
          <t>완경사</t>
        </is>
      </c>
      <c r="U3187" s="3" t="inlineStr">
        <is>
          <t>가로장방</t>
        </is>
      </c>
      <c r="V3187" s="3" t="inlineStr">
        <is>
          <t>중로한면</t>
        </is>
      </c>
    </row>
    <row r="3188">
      <c r="A3188" s="3" t="inlineStr">
        <is>
          <t>현도면 우록리 109-3</t>
        </is>
      </c>
      <c r="B3188" s="3" t="inlineStr">
        <is>
          <t>계획관리지역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15000</v>
      </c>
      <c r="G3188" s="4" t="n">
        <v>687</v>
      </c>
      <c r="H3188" s="4" t="n">
        <v>208</v>
      </c>
      <c r="I3188" s="5" t="n">
        <v>72.09999999999999</v>
      </c>
      <c r="J3188" s="5" t="n">
        <v>36.3</v>
      </c>
      <c r="K3188" s="3" t="inlineStr">
        <is>
          <t>위치 좋은 전원주택지 입니다.</t>
        </is>
      </c>
      <c r="L3188" s="6">
        <f>HYPERLINK("https://fin.land.naver.com/articles/2654497296", "매물Link")</f>
        <v/>
      </c>
      <c r="M3188" s="6">
        <f>HYPERLINK("https://map.naver.com/p/search/현도면 우록리 109-3", "지도Link")</f>
        <v/>
      </c>
      <c r="N3188" s="6">
        <f>HYPERLINK("http://www.eum.go.kr/web/ar/lu/luLandDet.jsp?pnu=4311232024101090003&amp;isNoScr=script&amp;mode=search", "토지이음")</f>
        <v/>
      </c>
      <c r="O3188" s="3" t="inlineStr">
        <is>
          <t>대웅</t>
        </is>
      </c>
      <c r="P3188" s="4" t="n">
        <v>1</v>
      </c>
      <c r="Q3188" s="4" t="n">
        <v>687</v>
      </c>
      <c r="R3188" s="3" t="inlineStr">
        <is>
          <t>지정되지않음</t>
        </is>
      </c>
      <c r="S3188" s="3" t="inlineStr">
        <is>
          <t>주거기타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세로한면(가)</t>
        </is>
      </c>
    </row>
    <row r="3189">
      <c r="A3189" s="3" t="inlineStr">
        <is>
          <t>현도면 우록리 109-5</t>
        </is>
      </c>
      <c r="B3189" s="3" t="inlineStr">
        <is>
          <t>계획관리지역</t>
        </is>
      </c>
      <c r="C3189" s="3" t="inlineStr">
        <is>
          <t>임야</t>
        </is>
      </c>
      <c r="D3189" s="3" t="inlineStr">
        <is>
          <t>임야</t>
        </is>
      </c>
      <c r="E3189" s="3" t="inlineStr">
        <is>
          <t>매매</t>
        </is>
      </c>
      <c r="F3189" s="4" t="n">
        <v>25200</v>
      </c>
      <c r="G3189" s="4" t="n">
        <v>1020</v>
      </c>
      <c r="H3189" s="4" t="n">
        <v>309</v>
      </c>
      <c r="I3189" s="5" t="n">
        <v>81.59999999999999</v>
      </c>
      <c r="J3189" s="5" t="n">
        <v>4</v>
      </c>
      <c r="K3189" s="3" t="inlineStr">
        <is>
          <t>계획관리지역의 3필지 토지 매매입니다.</t>
        </is>
      </c>
      <c r="L3189" s="6">
        <f>HYPERLINK("https://fin.land.naver.com/articles/2652719034", "매물Link")</f>
        <v/>
      </c>
      <c r="M3189" s="6">
        <f>HYPERLINK("https://map.naver.com/p/search/현도면 우록리 109-5", "지도Link")</f>
        <v/>
      </c>
      <c r="N3189" s="6">
        <f>HYPERLINK("http://www.eum.go.kr/web/ar/lu/luLandDet.jsp?pnu=4311232024101090005&amp;isNoScr=script&amp;mode=search", "토지이음")</f>
        <v/>
      </c>
      <c r="O3189" s="3" t="inlineStr">
        <is>
          <t>진행</t>
        </is>
      </c>
      <c r="P3189" s="4" t="n">
        <v>1</v>
      </c>
      <c r="Q3189" s="4" t="n">
        <v>1020</v>
      </c>
      <c r="R3189" s="3" t="inlineStr">
        <is>
          <t>지정되지않음</t>
        </is>
      </c>
      <c r="S3189" s="3" t="inlineStr">
        <is>
          <t>자연림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우록리 300</t>
        </is>
      </c>
      <c r="B3190" s="3" t="inlineStr">
        <is>
          <t>생산관리지역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43000</v>
      </c>
      <c r="G3190" s="4" t="n">
        <v>4056</v>
      </c>
      <c r="H3190" s="4" t="n">
        <v>1227</v>
      </c>
      <c r="I3190" s="5" t="n">
        <v>35</v>
      </c>
      <c r="J3190" s="5" t="n">
        <v>18.3</v>
      </c>
      <c r="K3190" s="3" t="inlineStr">
        <is>
          <t>nan</t>
        </is>
      </c>
      <c r="L3190" s="6">
        <f>HYPERLINK("https://fin.land.naver.com/articles/2656056111", "매물Link")</f>
        <v/>
      </c>
      <c r="M3190" s="6">
        <f>HYPERLINK("https://map.naver.com/p/search/현도면 우록리 300", "지도Link")</f>
        <v/>
      </c>
      <c r="N3190" s="6">
        <f>HYPERLINK("http://www.eum.go.kr/web/ar/lu/luLandDet.jsp?pnu=4311232024103000000&amp;isNoScr=script&amp;mode=search", "토지이음")</f>
        <v/>
      </c>
      <c r="O3190" s="3" t="inlineStr">
        <is>
          <t>대웅</t>
        </is>
      </c>
      <c r="P3190" s="4" t="n">
        <v>2</v>
      </c>
      <c r="Q3190" s="4" t="n">
        <v>1996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우록리 330</t>
        </is>
      </c>
      <c r="B3191" s="3" t="inlineStr">
        <is>
          <t>생산관리지역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75000</v>
      </c>
      <c r="G3191" s="4" t="n">
        <v>565</v>
      </c>
      <c r="H3191" s="4" t="n">
        <v>171</v>
      </c>
      <c r="I3191" s="5" t="n">
        <v>438.6</v>
      </c>
      <c r="J3191" s="5" t="n">
        <v>35</v>
      </c>
      <c r="K3191" s="3" t="inlineStr">
        <is>
          <t>nan</t>
        </is>
      </c>
      <c r="L3191" s="6">
        <f>HYPERLINK("https://fin.land.naver.com/articles/2655174096", "매물Link")</f>
        <v/>
      </c>
      <c r="M3191" s="6">
        <f>HYPERLINK("https://map.naver.com/p/search/현도면 우록리 330", "지도Link")</f>
        <v/>
      </c>
      <c r="N3191" s="6">
        <f>HYPERLINK("http://www.eum.go.kr/web/ar/lu/luLandDet.jsp?pnu=4311232024103300000&amp;isNoScr=script&amp;mode=search", "토지이음")</f>
        <v/>
      </c>
      <c r="O3191" s="3" t="inlineStr">
        <is>
          <t>청주지웰프로</t>
        </is>
      </c>
      <c r="P3191" s="4" t="n">
        <v>1</v>
      </c>
      <c r="Q3191" s="4" t="n">
        <v>564</v>
      </c>
      <c r="R3191" s="3" t="inlineStr">
        <is>
          <t>지정되지않음</t>
        </is>
      </c>
      <c r="S3191" s="3" t="inlineStr">
        <is>
          <t>단독</t>
        </is>
      </c>
      <c r="T3191" s="3" t="inlineStr">
        <is>
          <t>평지</t>
        </is>
      </c>
      <c r="U3191" s="3" t="inlineStr">
        <is>
          <t>사다리형</t>
        </is>
      </c>
      <c r="V3191" s="3" t="inlineStr">
        <is>
          <t>세로한면(가)</t>
        </is>
      </c>
    </row>
    <row r="3192">
      <c r="A3192" s="3" t="inlineStr">
        <is>
          <t>현도면 우록리 478-2</t>
        </is>
      </c>
      <c r="B3192" s="3" t="inlineStr">
        <is>
          <t>계획관리지역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26000</v>
      </c>
      <c r="G3192" s="4" t="n">
        <v>468</v>
      </c>
      <c r="H3192" s="4" t="n">
        <v>142</v>
      </c>
      <c r="I3192" s="5" t="n">
        <v>183.1</v>
      </c>
      <c r="J3192" s="5" t="n">
        <v>42.7</v>
      </c>
      <c r="K3192" s="3" t="inlineStr">
        <is>
          <t>조용한 전원생활 원하시는분께 적극 추천</t>
        </is>
      </c>
      <c r="L3192" s="6">
        <f>HYPERLINK("https://fin.land.naver.com/articles/2654087557", "매물Link")</f>
        <v/>
      </c>
      <c r="M3192" s="6">
        <f>HYPERLINK("https://map.naver.com/p/search/현도면 우록리 478-2", "지도Link")</f>
        <v/>
      </c>
      <c r="N3192" s="6">
        <f>HYPERLINK("http://www.eum.go.kr/web/ar/lu/luLandDet.jsp?pnu=4311232024104780002&amp;isNoScr=script&amp;mode=search", "토지이음")</f>
        <v/>
      </c>
      <c r="O3192" s="3" t="inlineStr">
        <is>
          <t>114</t>
        </is>
      </c>
      <c r="P3192" s="4" t="n">
        <v>1</v>
      </c>
      <c r="Q3192" s="4" t="n">
        <v>468</v>
      </c>
      <c r="R3192" s="3" t="inlineStr">
        <is>
          <t>지정되지않음</t>
        </is>
      </c>
      <c r="S3192" s="3" t="inlineStr">
        <is>
          <t>단독</t>
        </is>
      </c>
      <c r="T3192" s="3" t="inlineStr">
        <is>
          <t>평지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우록리 480-1</t>
        </is>
      </c>
      <c r="B3193" s="3" t="inlineStr">
        <is>
          <t>생산관리지역</t>
        </is>
      </c>
      <c r="C3193" s="3" t="inlineStr">
        <is>
          <t>전</t>
        </is>
      </c>
      <c r="D3193" s="3" t="inlineStr">
        <is>
          <t>전</t>
        </is>
      </c>
      <c r="E3193" s="3" t="inlineStr">
        <is>
          <t>매매</t>
        </is>
      </c>
      <c r="F3193" s="4" t="n">
        <v>60000</v>
      </c>
      <c r="G3193" s="4" t="n">
        <v>2503</v>
      </c>
      <c r="H3193" s="4" t="n">
        <v>757</v>
      </c>
      <c r="I3193" s="5" t="n">
        <v>79.3</v>
      </c>
      <c r="J3193" s="5" t="n">
        <v>33.6</v>
      </c>
      <c r="K3193" s="3" t="inlineStr">
        <is>
          <t>동남.방서지구 인접, 3순환로 최적의 수혜지, 도로접한 알짜매물</t>
        </is>
      </c>
      <c r="L3193" s="6">
        <f>HYPERLINK("https://fin.land.naver.com/articles/2654086833", "매물Link")</f>
        <v/>
      </c>
      <c r="M3193" s="6">
        <f>HYPERLINK("https://map.naver.com/p/search/현도면 우록리 480-1", "지도Link")</f>
        <v/>
      </c>
      <c r="N3193" s="6">
        <f>HYPERLINK("http://www.eum.go.kr/web/ar/lu/luLandDet.jsp?pnu=4311232024104800001&amp;isNoScr=script&amp;mode=search", "토지이음")</f>
        <v/>
      </c>
      <c r="O3193" s="3" t="inlineStr">
        <is>
          <t>114</t>
        </is>
      </c>
      <c r="P3193" s="4" t="n">
        <v>1</v>
      </c>
      <c r="Q3193" s="4" t="n">
        <v>407</v>
      </c>
      <c r="R3193" s="3" t="inlineStr">
        <is>
          <t>지정되지않음</t>
        </is>
      </c>
      <c r="S3193" s="3" t="inlineStr">
        <is>
          <t>전</t>
        </is>
      </c>
      <c r="T3193" s="3" t="inlineStr">
        <is>
          <t>평지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우록리 481</t>
        </is>
      </c>
      <c r="B3194" s="3" t="inlineStr">
        <is>
          <t>생산관리지역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45000</v>
      </c>
      <c r="G3194" s="4" t="n">
        <v>2503</v>
      </c>
      <c r="H3194" s="4" t="n">
        <v>757</v>
      </c>
      <c r="I3194" s="5" t="n">
        <v>59.4</v>
      </c>
      <c r="J3194" s="5" t="n">
        <v>33.6</v>
      </c>
      <c r="K3194" s="3" t="inlineStr">
        <is>
          <t>급매, 생산관리 농지로 도로접, 창고,2종근생제조업, 단독주택지 추천</t>
        </is>
      </c>
      <c r="L3194" s="6">
        <f>HYPERLINK("https://fin.land.naver.com/articles/2654808923", "매물Link")</f>
        <v/>
      </c>
      <c r="M3194" s="6">
        <f>HYPERLINK("https://map.naver.com/p/search/현도면 우록리 481", "지도Link")</f>
        <v/>
      </c>
      <c r="N3194" s="6">
        <f>HYPERLINK("http://www.eum.go.kr/web/ar/lu/luLandDet.jsp?pnu=4311232024104810000&amp;isNoScr=script&amp;mode=search", "토지이음")</f>
        <v/>
      </c>
      <c r="O3194" s="3" t="inlineStr">
        <is>
          <t>세종복댕이</t>
        </is>
      </c>
      <c r="P3194" s="4" t="n">
        <v>1</v>
      </c>
      <c r="Q3194" s="4" t="n">
        <v>929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평지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우록리 604-1</t>
        </is>
      </c>
      <c r="B3195" s="3" t="inlineStr">
        <is>
          <t>생산관리지역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72000</v>
      </c>
      <c r="G3195" s="4" t="n">
        <v>4018</v>
      </c>
      <c r="H3195" s="4" t="n">
        <v>1215</v>
      </c>
      <c r="I3195" s="5" t="n">
        <v>59.3</v>
      </c>
      <c r="J3195" s="5" t="n">
        <v>22.1</v>
      </c>
      <c r="K3195" s="3" t="inlineStr">
        <is>
          <t>현도면 지적정리 완료, 모양좋은 토지</t>
        </is>
      </c>
      <c r="L3195" s="6">
        <f>HYPERLINK("https://fin.land.naver.com/articles/2651561768", "매물Link")</f>
        <v/>
      </c>
      <c r="M3195" s="6">
        <f>HYPERLINK("https://map.naver.com/p/search/현도면 우록리 604-1", "지도Link")</f>
        <v/>
      </c>
      <c r="N3195" s="6">
        <f>HYPERLINK("http://www.eum.go.kr/web/ar/lu/luLandDet.jsp?pnu=4311232024106040001&amp;isNoScr=script&amp;mode=search", "토지이음")</f>
        <v/>
      </c>
      <c r="O3195" s="3" t="inlineStr">
        <is>
          <t>부엉이</t>
        </is>
      </c>
      <c r="P3195" s="4" t="n">
        <v>1</v>
      </c>
      <c r="Q3195" s="4" t="n">
        <v>1574</v>
      </c>
      <c r="R3195" s="3" t="inlineStr">
        <is>
          <t>계획관리지역</t>
        </is>
      </c>
      <c r="S3195" s="3" t="inlineStr">
        <is>
          <t>답</t>
        </is>
      </c>
      <c r="T3195" s="3" t="inlineStr">
        <is>
          <t>평지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우록리 89</t>
        </is>
      </c>
      <c r="B3196" s="3" t="inlineStr">
        <is>
          <t>보전관리지역</t>
        </is>
      </c>
      <c r="C3196" s="3" t="inlineStr">
        <is>
          <t>전</t>
        </is>
      </c>
      <c r="D3196" s="3" t="inlineStr">
        <is>
          <t>전</t>
        </is>
      </c>
      <c r="E3196" s="3" t="inlineStr">
        <is>
          <t>매매</t>
        </is>
      </c>
      <c r="F3196" s="4" t="n">
        <v>10000</v>
      </c>
      <c r="G3196" s="4" t="n">
        <v>1064</v>
      </c>
      <c r="H3196" s="4" t="n">
        <v>322</v>
      </c>
      <c r="I3196" s="5" t="n">
        <v>31.1</v>
      </c>
      <c r="J3196" s="5" t="n">
        <v>7.7</v>
      </c>
      <c r="K3196" s="3" t="inlineStr">
        <is>
          <t>맹지매매 차량진입로는 있으며 주말농장으로 추천</t>
        </is>
      </c>
      <c r="L3196" s="6">
        <f>HYPERLINK("https://fin.land.naver.com/articles/2655229113", "매물Link")</f>
        <v/>
      </c>
      <c r="M3196" s="6">
        <f>HYPERLINK("https://map.naver.com/p/search/현도면 우록리 89", "지도Link")</f>
        <v/>
      </c>
      <c r="N3196" s="6">
        <f>HYPERLINK("http://www.eum.go.kr/web/ar/lu/luLandDet.jsp?pnu=4311232024100890000&amp;isNoScr=script&amp;mode=search", "토지이음")</f>
        <v/>
      </c>
      <c r="O3196" s="3" t="inlineStr">
        <is>
          <t>대운</t>
        </is>
      </c>
      <c r="P3196" s="4" t="n">
        <v>1</v>
      </c>
      <c r="Q3196" s="4" t="n">
        <v>1064</v>
      </c>
      <c r="R3196" s="3" t="inlineStr">
        <is>
          <t>지정되지않음</t>
        </is>
      </c>
      <c r="S3196" s="3" t="inlineStr">
        <is>
          <t>전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죽암리 184-16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잡종지</t>
        </is>
      </c>
      <c r="E3197" s="3" t="inlineStr">
        <is>
          <t>매매</t>
        </is>
      </c>
      <c r="F3197" s="4" t="n">
        <v>224400</v>
      </c>
      <c r="G3197" s="4" t="n">
        <v>6743</v>
      </c>
      <c r="H3197" s="4" t="n">
        <v>2040</v>
      </c>
      <c r="I3197" s="5" t="n">
        <v>110</v>
      </c>
      <c r="J3197" s="5" t="n">
        <v>2.4</v>
      </c>
      <c r="K3197" s="3" t="inlineStr">
        <is>
          <t>계획관리지역 잡종지 남청주IC 5분창고포함198㎡자동차물류</t>
        </is>
      </c>
      <c r="L3197" s="6">
        <f>HYPERLINK("https://fin.land.naver.com/articles/2652332379", "매물Link")</f>
        <v/>
      </c>
      <c r="M3197" s="6">
        <f>HYPERLINK("https://map.naver.com/p/search/현도면 죽암리 184-16", "지도Link")</f>
        <v/>
      </c>
      <c r="N3197" s="6">
        <f>HYPERLINK("http://www.eum.go.kr/web/ar/lu/luLandDet.jsp?pnu=4311232034101840016&amp;isNoScr=script&amp;mode=search", "토지이음")</f>
        <v/>
      </c>
      <c r="O3197" s="3" t="inlineStr">
        <is>
          <t>우주</t>
        </is>
      </c>
      <c r="P3197" s="4" t="n">
        <v>1</v>
      </c>
      <c r="Q3197" s="4" t="n">
        <v>230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완경사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죽암리 184-16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잡종지</t>
        </is>
      </c>
      <c r="E3198" s="3" t="inlineStr">
        <is>
          <t>매매</t>
        </is>
      </c>
      <c r="F3198" s="4" t="n">
        <v>230000</v>
      </c>
      <c r="G3198" s="4" t="n">
        <v>6744</v>
      </c>
      <c r="H3198" s="4" t="n">
        <v>2040</v>
      </c>
      <c r="I3198" s="5" t="n">
        <v>112.7</v>
      </c>
      <c r="J3198" s="5" t="n">
        <v>2.4</v>
      </c>
      <c r="K3198" s="3" t="inlineStr">
        <is>
          <t>2차선 도로접, 남청주 I.C 4분거리, 공장,물류창고추천</t>
        </is>
      </c>
      <c r="L3198" s="6">
        <f>HYPERLINK("https://fin.land.naver.com/articles/2654897612", "매물Link")</f>
        <v/>
      </c>
      <c r="M3198" s="6">
        <f>HYPERLINK("https://map.naver.com/p/search/현도면 죽암리 184-16", "지도Link")</f>
        <v/>
      </c>
      <c r="N3198" s="6">
        <f>HYPERLINK("http://www.eum.go.kr/web/ar/lu/luLandDet.jsp?pnu=4311232034101840016&amp;isNoScr=script&amp;mode=search", "토지이음")</f>
        <v/>
      </c>
      <c r="O3198" s="3" t="inlineStr">
        <is>
          <t>플러스자이합동</t>
        </is>
      </c>
      <c r="P3198" s="4" t="n">
        <v>1</v>
      </c>
      <c r="Q3198" s="4" t="n">
        <v>230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완경사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죽암리 184-9</t>
        </is>
      </c>
      <c r="B3199" s="3" t="inlineStr">
        <is>
          <t>계획관리지역</t>
        </is>
      </c>
      <c r="C3199" s="3" t="inlineStr">
        <is>
          <t>잡종지</t>
        </is>
      </c>
      <c r="D3199" s="3" t="inlineStr">
        <is>
          <t>잡종지</t>
        </is>
      </c>
      <c r="E3199" s="3" t="inlineStr">
        <is>
          <t>매매</t>
        </is>
      </c>
      <c r="F3199" s="4" t="n">
        <v>265000</v>
      </c>
      <c r="G3199" s="4" t="n">
        <v>6743</v>
      </c>
      <c r="H3199" s="4" t="n">
        <v>2040</v>
      </c>
      <c r="I3199" s="5" t="n">
        <v>129.9</v>
      </c>
      <c r="J3199" s="5" t="n">
        <v>63</v>
      </c>
      <c r="K3199" s="3" t="inlineStr">
        <is>
          <t>IC인근  공장부지 창고부지 좋습니다</t>
        </is>
      </c>
      <c r="L3199" s="6">
        <f>HYPERLINK("https://fin.land.naver.com/articles/2655409542", "매물Link")</f>
        <v/>
      </c>
      <c r="M3199" s="6">
        <f>HYPERLINK("https://map.naver.com/p/search/현도면 죽암리 184-9", "지도Link")</f>
        <v/>
      </c>
      <c r="N3199" s="6">
        <f>HYPERLINK("http://www.eum.go.kr/web/ar/lu/luLandDet.jsp?pnu=4311232034101840009&amp;isNoScr=script&amp;mode=search", "토지이음")</f>
        <v/>
      </c>
      <c r="O3199" s="3" t="inlineStr">
        <is>
          <t>동일스위트대표</t>
        </is>
      </c>
      <c r="P3199" s="4" t="n">
        <v>4</v>
      </c>
      <c r="Q3199" s="4" t="n">
        <v>6514</v>
      </c>
      <c r="R3199" s="3" t="inlineStr">
        <is>
          <t>지정되지않음</t>
        </is>
      </c>
      <c r="S3199" s="3" t="inlineStr">
        <is>
          <t>공업기타</t>
        </is>
      </c>
      <c r="T3199" s="3" t="inlineStr">
        <is>
          <t>완경사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현도면 죽암리 184-9</t>
        </is>
      </c>
      <c r="B3200" s="3" t="inlineStr">
        <is>
          <t>계획관리지역</t>
        </is>
      </c>
      <c r="C3200" s="3" t="inlineStr">
        <is>
          <t>잡종지</t>
        </is>
      </c>
      <c r="D3200" s="3" t="inlineStr">
        <is>
          <t>잡종지</t>
        </is>
      </c>
      <c r="E3200" s="3" t="inlineStr">
        <is>
          <t>월세</t>
        </is>
      </c>
      <c r="F3200" s="4" t="n">
        <v>10000</v>
      </c>
      <c r="G3200" s="4" t="n">
        <v>6744</v>
      </c>
      <c r="H3200" s="4" t="n">
        <v>2040</v>
      </c>
      <c r="I3200" s="5" t="n">
        <v>0.4</v>
      </c>
      <c r="J3200" s="5" t="n">
        <v>63</v>
      </c>
      <c r="K3200" s="3" t="inlineStr">
        <is>
          <t>즉시사용가능한 나대지 야적장 화물자동차매매상사, 공장 및 창고 부지</t>
        </is>
      </c>
      <c r="L3200" s="6">
        <f>HYPERLINK("https://fin.land.naver.com/articles/2654969454", "매물Link")</f>
        <v/>
      </c>
      <c r="M3200" s="6">
        <f>HYPERLINK("https://map.naver.com/p/search/현도면 죽암리 184-9", "지도Link")</f>
        <v/>
      </c>
      <c r="N3200" s="6">
        <f>HYPERLINK("http://www.eum.go.kr/web/ar/lu/luLandDet.jsp?pnu=4311232034101840009&amp;isNoScr=script&amp;mode=search",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6514</v>
      </c>
      <c r="R3200" s="3" t="inlineStr">
        <is>
          <t>지정되지않음</t>
        </is>
      </c>
      <c r="S3200" s="3" t="inlineStr">
        <is>
          <t>공업기타</t>
        </is>
      </c>
      <c r="T3200" s="3" t="inlineStr">
        <is>
          <t>완경사</t>
        </is>
      </c>
      <c r="U3200" s="3" t="inlineStr">
        <is>
          <t>사다리형</t>
        </is>
      </c>
      <c r="V3200" s="3" t="inlineStr">
        <is>
          <t>소로한면</t>
        </is>
      </c>
    </row>
    <row r="3201">
      <c r="A3201" s="3" t="inlineStr">
        <is>
          <t>현도면 죽암리 184-9</t>
        </is>
      </c>
      <c r="B3201" s="3" t="inlineStr">
        <is>
          <t>계획관리지역</t>
        </is>
      </c>
      <c r="C3201" s="3" t="inlineStr">
        <is>
          <t>잡종지</t>
        </is>
      </c>
      <c r="D3201" s="3" t="inlineStr">
        <is>
          <t>잡종지</t>
        </is>
      </c>
      <c r="E3201" s="3" t="inlineStr">
        <is>
          <t>매매</t>
        </is>
      </c>
      <c r="F3201" s="4" t="n">
        <v>276000</v>
      </c>
      <c r="G3201" s="4" t="n">
        <v>6514</v>
      </c>
      <c r="H3201" s="4" t="n">
        <v>1970</v>
      </c>
      <c r="I3201" s="5" t="n">
        <v>140.1</v>
      </c>
      <c r="J3201" s="5" t="n">
        <v>63</v>
      </c>
      <c r="K3201" s="3" t="inlineStr">
        <is>
          <t>OK. 급매. 계획관리지역, 성장관리계획구역.</t>
        </is>
      </c>
      <c r="L3201" s="6">
        <f>HYPERLINK("https://fin.land.naver.com/articles/2654953187", "매물Link")</f>
        <v/>
      </c>
      <c r="M3201" s="6">
        <f>HYPERLINK("https://map.naver.com/p/search/현도면 죽암리 184-9", "지도Link")</f>
        <v/>
      </c>
      <c r="N3201" s="6">
        <f>HYPERLINK("http://www.eum.go.kr/web/ar/lu/luLandDet.jsp?pnu=4311232034101840009&amp;isNoScr=script&amp;mode=search", "토지이음")</f>
        <v/>
      </c>
      <c r="O3201" s="3" t="inlineStr">
        <is>
          <t>OK</t>
        </is>
      </c>
      <c r="P3201" s="4" t="n">
        <v>1</v>
      </c>
      <c r="Q3201" s="4" t="n">
        <v>6514</v>
      </c>
      <c r="R3201" s="3" t="inlineStr">
        <is>
          <t>지정되지않음</t>
        </is>
      </c>
      <c r="S3201" s="3" t="inlineStr">
        <is>
          <t>공업기타</t>
        </is>
      </c>
      <c r="T3201" s="3" t="inlineStr">
        <is>
          <t>완경사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현도면 죽암리 184-9</t>
        </is>
      </c>
      <c r="B3202" s="3" t="inlineStr">
        <is>
          <t>계획관리지역</t>
        </is>
      </c>
      <c r="C3202" s="3" t="inlineStr">
        <is>
          <t>잡종지</t>
        </is>
      </c>
      <c r="D3202" s="3" t="inlineStr">
        <is>
          <t>잡종지</t>
        </is>
      </c>
      <c r="E3202" s="3" t="inlineStr">
        <is>
          <t>매매</t>
        </is>
      </c>
      <c r="F3202" s="4" t="n">
        <v>223000</v>
      </c>
      <c r="G3202" s="4" t="n">
        <v>6744</v>
      </c>
      <c r="H3202" s="4" t="n">
        <v>2040</v>
      </c>
      <c r="I3202" s="5" t="n">
        <v>109.3</v>
      </c>
      <c r="J3202" s="5" t="n">
        <v>63</v>
      </c>
      <c r="K3202" s="3" t="inlineStr">
        <is>
          <t>즉시사용가능 재활용부지  화물자동차매매상사, 공장부지 , 창고 부지</t>
        </is>
      </c>
      <c r="L3202" s="6">
        <f>HYPERLINK("https://fin.land.naver.com/articles/2655486888", "매물Link")</f>
        <v/>
      </c>
      <c r="M3202" s="6">
        <f>HYPERLINK("https://map.naver.com/p/search/현도면 죽암리 184-9", "지도Link")</f>
        <v/>
      </c>
      <c r="N3202" s="6">
        <f>HYPERLINK("http://www.eum.go.kr/web/ar/lu/luLandDet.jsp?pnu=4311232034101840009&amp;isNoScr=script&amp;mode=search", "토지이음")</f>
        <v/>
      </c>
      <c r="O3202" s="3" t="inlineStr">
        <is>
          <t>대전토지로무소</t>
        </is>
      </c>
      <c r="P3202" s="4" t="n">
        <v>1</v>
      </c>
      <c r="Q3202" s="4" t="n">
        <v>6514</v>
      </c>
      <c r="R3202" s="3" t="inlineStr">
        <is>
          <t>지정되지않음</t>
        </is>
      </c>
      <c r="S3202" s="3" t="inlineStr">
        <is>
          <t>공업기타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현도면 죽암리 184-9</t>
        </is>
      </c>
      <c r="B3203" s="3" t="inlineStr">
        <is>
          <t>계획관리지역</t>
        </is>
      </c>
      <c r="C3203" s="3" t="inlineStr">
        <is>
          <t>잡종지</t>
        </is>
      </c>
      <c r="D3203" s="3" t="inlineStr">
        <is>
          <t>임야</t>
        </is>
      </c>
      <c r="E3203" s="3" t="inlineStr">
        <is>
          <t>매매</t>
        </is>
      </c>
      <c r="F3203" s="4" t="n">
        <v>275400</v>
      </c>
      <c r="G3203" s="4" t="n">
        <v>6743</v>
      </c>
      <c r="H3203" s="4" t="n">
        <v>2040</v>
      </c>
      <c r="I3203" s="5" t="n">
        <v>135</v>
      </c>
      <c r="J3203" s="5" t="n">
        <v>63</v>
      </c>
      <c r="K3203" s="3" t="inlineStr">
        <is>
          <t>nan</t>
        </is>
      </c>
      <c r="L3203" s="6">
        <f>HYPERLINK("https://fin.land.naver.com/articles/2655425181", "매물Link")</f>
        <v/>
      </c>
      <c r="M3203" s="6">
        <f>HYPERLINK("https://map.naver.com/p/search/현도면 죽암리 184-9", "지도Link")</f>
        <v/>
      </c>
      <c r="N3203" s="6">
        <f>HYPERLINK("http://www.eum.go.kr/web/ar/lu/luLandDet.jsp?pnu=4311232034101840009&amp;isNoScr=script&amp;mode=search", "토지이음")</f>
        <v/>
      </c>
      <c r="O3203" s="3" t="inlineStr">
        <is>
          <t>청주합동</t>
        </is>
      </c>
      <c r="P3203" s="4" t="n">
        <v>2</v>
      </c>
      <c r="Q3203" s="4" t="n">
        <v>6514</v>
      </c>
      <c r="R3203" s="3" t="inlineStr">
        <is>
          <t>지정되지않음</t>
        </is>
      </c>
      <c r="S3203" s="3" t="inlineStr">
        <is>
          <t>공업기타</t>
        </is>
      </c>
      <c r="T3203" s="3" t="inlineStr">
        <is>
          <t>완경사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현도면 죽암리 184-9</t>
        </is>
      </c>
      <c r="B3204" s="3" t="inlineStr">
        <is>
          <t>계획관리지역</t>
        </is>
      </c>
      <c r="C3204" s="3" t="inlineStr">
        <is>
          <t>잡종지</t>
        </is>
      </c>
      <c r="D3204" s="3" t="inlineStr">
        <is>
          <t>잡종지</t>
        </is>
      </c>
      <c r="E3204" s="3" t="inlineStr">
        <is>
          <t>월세</t>
        </is>
      </c>
      <c r="F3204" s="4" t="n">
        <v>10000</v>
      </c>
      <c r="G3204" s="4" t="n">
        <v>6514</v>
      </c>
      <c r="H3204" s="4" t="n">
        <v>1970</v>
      </c>
      <c r="I3204" s="5" t="n">
        <v>0.4</v>
      </c>
      <c r="J3204" s="5" t="n">
        <v>63</v>
      </c>
      <c r="K3204" s="3" t="inlineStr">
        <is>
          <t>남청주IC에서 5분거리, 현제 화물자동차 매매상사, 즉시입주가능</t>
        </is>
      </c>
      <c r="L3204" s="6">
        <f>HYPERLINK("https://fin.land.naver.com/articles/2652777346", "매물Link")</f>
        <v/>
      </c>
      <c r="M3204" s="6">
        <f>HYPERLINK("https://map.naver.com/p/search/현도면 죽암리 184-9", "지도Link")</f>
        <v/>
      </c>
      <c r="N3204" s="6">
        <f>HYPERLINK("http://www.eum.go.kr/web/ar/lu/luLandDet.jsp?pnu=4311232034101840009&amp;isNoScr=script&amp;mode=search", "토지이음")</f>
        <v/>
      </c>
      <c r="O3204" s="3" t="inlineStr">
        <is>
          <t>금화랜드</t>
        </is>
      </c>
      <c r="P3204" s="4" t="n">
        <v>1</v>
      </c>
      <c r="Q3204" s="4" t="n">
        <v>6514</v>
      </c>
      <c r="R3204" s="3" t="inlineStr">
        <is>
          <t>지정되지않음</t>
        </is>
      </c>
      <c r="S3204" s="3" t="inlineStr">
        <is>
          <t>공업기타</t>
        </is>
      </c>
      <c r="T3204" s="3" t="inlineStr">
        <is>
          <t>완경사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현도면 죽전리 356-3</t>
        </is>
      </c>
      <c r="B3205" s="3" t="inlineStr">
        <is>
          <t>계획관리지역</t>
        </is>
      </c>
      <c r="C3205" s="3" t="inlineStr">
        <is>
          <t>전</t>
        </is>
      </c>
      <c r="D3205" s="3" t="inlineStr">
        <is>
          <t>전</t>
        </is>
      </c>
      <c r="E3205" s="3" t="inlineStr">
        <is>
          <t>매매</t>
        </is>
      </c>
      <c r="F3205" s="4" t="n">
        <v>52000</v>
      </c>
      <c r="G3205" s="4" t="n">
        <v>919</v>
      </c>
      <c r="H3205" s="4" t="n">
        <v>278</v>
      </c>
      <c r="I3205" s="5" t="n">
        <v>187.1</v>
      </c>
      <c r="J3205" s="5" t="n">
        <v>31.7</v>
      </c>
      <c r="K3205" s="3" t="inlineStr">
        <is>
          <t>전면이 넓은 토지로 공장부지, 창고부지, 야적장 등 용도다양함</t>
        </is>
      </c>
      <c r="L3205" s="6">
        <f>HYPERLINK("https://fin.land.naver.com/articles/2655487390", "매물Link")</f>
        <v/>
      </c>
      <c r="M3205" s="6">
        <f>HYPERLINK("https://map.naver.com/p/search/현도면 죽전리 356-3", "지도Link")</f>
        <v/>
      </c>
      <c r="N3205" s="6">
        <f>HYPERLINK("http://www.eum.go.kr/web/ar/lu/luLandDet.jsp?pnu=4311232023103560003&amp;isNoScr=script&amp;mode=search", "토지이음")</f>
        <v/>
      </c>
      <c r="O3205" s="3" t="inlineStr">
        <is>
          <t>대전토지로무소</t>
        </is>
      </c>
      <c r="P3205" s="4" t="n">
        <v>1</v>
      </c>
      <c r="Q3205" s="4" t="n">
        <v>919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세로한면(가)</t>
        </is>
      </c>
    </row>
    <row r="3206">
      <c r="A3206" s="3" t="inlineStr">
        <is>
          <t>현도면 죽전리 356-3</t>
        </is>
      </c>
      <c r="B3206" s="3" t="inlineStr">
        <is>
          <t>계획관리지역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52800</v>
      </c>
      <c r="G3206" s="4" t="n">
        <v>919</v>
      </c>
      <c r="H3206" s="4" t="n">
        <v>278</v>
      </c>
      <c r="I3206" s="5" t="n">
        <v>189.9</v>
      </c>
      <c r="J3206" s="5" t="n">
        <v>31.7</v>
      </c>
      <c r="K3206" s="3" t="inlineStr">
        <is>
          <t>도로에 접한 농지 매매</t>
        </is>
      </c>
      <c r="L3206" s="6">
        <f>HYPERLINK("https://fin.land.naver.com/articles/2655015930", "매물Link")</f>
        <v/>
      </c>
      <c r="M3206" s="6">
        <f>HYPERLINK("https://map.naver.com/p/search/현도면 죽전리 356-3", "지도Link")</f>
        <v/>
      </c>
      <c r="N3206" s="6">
        <f>HYPERLINK("http://www.eum.go.kr/web/ar/lu/luLandDet.jsp?pnu=4311232023103560003&amp;isNoScr=script&amp;mode=search",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919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세로한면(가)</t>
        </is>
      </c>
    </row>
    <row r="3207">
      <c r="A3207" s="3" t="inlineStr">
        <is>
          <t>현도면 죽전리 594-3</t>
        </is>
      </c>
      <c r="B3207" s="3" t="inlineStr">
        <is>
          <t>계획관리지역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29700</v>
      </c>
      <c r="G3207" s="4" t="n">
        <v>984</v>
      </c>
      <c r="H3207" s="4" t="n">
        <v>298</v>
      </c>
      <c r="I3207" s="5" t="n">
        <v>99.7</v>
      </c>
      <c r="J3207" s="5" t="n">
        <v>31.6</v>
      </c>
      <c r="K3207" s="3" t="inlineStr">
        <is>
          <t>계획관리지역 토지 공장이나 창고부지 추천</t>
        </is>
      </c>
      <c r="L3207" s="6">
        <f>HYPERLINK("https://fin.land.naver.com/articles/2652887475", "매물Link")</f>
        <v/>
      </c>
      <c r="M3207" s="6">
        <f>HYPERLINK("https://map.naver.com/p/search/현도면 죽전리 594-3", "지도Link")</f>
        <v/>
      </c>
      <c r="N3207" s="6">
        <f>HYPERLINK("http://www.eum.go.kr/web/ar/lu/luLandDet.jsp?pnu=4311232023105940003&amp;isNoScr=script&amp;mode=search",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984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사다리형</t>
        </is>
      </c>
      <c r="V3207" s="3" t="inlineStr">
        <is>
          <t>세로한면(불)</t>
        </is>
      </c>
    </row>
    <row r="3208">
      <c r="A3208" s="3" t="inlineStr">
        <is>
          <t>현도면 중삼리 165</t>
        </is>
      </c>
      <c r="B3208" s="3" t="inlineStr">
        <is>
          <t>계획관리지역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13800</v>
      </c>
      <c r="G3208" s="4" t="n">
        <v>1071</v>
      </c>
      <c r="H3208" s="4" t="n">
        <v>324</v>
      </c>
      <c r="I3208" s="5" t="n">
        <v>42.6</v>
      </c>
      <c r="J3208" s="5" t="n">
        <v>20.1</v>
      </c>
      <c r="K3208" s="3" t="inlineStr">
        <is>
          <t>계획관리지역 토지로 , 향후 개발지로 투자가치 있는곳임.</t>
        </is>
      </c>
      <c r="L3208" s="6">
        <f>HYPERLINK("https://fin.land.naver.com/articles/2654695492", "매물Link")</f>
        <v/>
      </c>
      <c r="M3208" s="6">
        <f>HYPERLINK("https://map.naver.com/p/search/현도면 중삼리 165", "지도Link")</f>
        <v/>
      </c>
      <c r="N3208" s="6">
        <f>HYPERLINK("http://www.eum.go.kr/web/ar/lu/luLandDet.jsp?pnu=4311232022101650000&amp;isNoScr=script&amp;mode=search", "토지이음")</f>
        <v/>
      </c>
      <c r="O3208" s="3" t="inlineStr">
        <is>
          <t>포시즌</t>
        </is>
      </c>
      <c r="P3208" s="4" t="n">
        <v>1</v>
      </c>
      <c r="Q3208" s="4" t="n">
        <v>1071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맹지</t>
        </is>
      </c>
    </row>
    <row r="3209">
      <c r="A3209" s="3" t="inlineStr">
        <is>
          <t>현도면 중삼리 297-12</t>
        </is>
      </c>
      <c r="B3209" s="3" t="inlineStr">
        <is>
          <t>계획관리지역</t>
        </is>
      </c>
      <c r="C3209" s="3" t="inlineStr">
        <is>
          <t>잡종지</t>
        </is>
      </c>
      <c r="D3209" s="3" t="inlineStr">
        <is>
          <t>잡종지</t>
        </is>
      </c>
      <c r="E3209" s="3" t="inlineStr">
        <is>
          <t>매매</t>
        </is>
      </c>
      <c r="F3209" s="4" t="n">
        <v>151000</v>
      </c>
      <c r="G3209" s="4" t="n">
        <v>2527</v>
      </c>
      <c r="H3209" s="4" t="n">
        <v>764</v>
      </c>
      <c r="I3209" s="5" t="n">
        <v>197.6</v>
      </c>
      <c r="J3209" s="5" t="n">
        <v>48.9</v>
      </c>
      <c r="K3209" s="3" t="inlineStr">
        <is>
          <t>현재 자원순환시설로 성업중,공장,창고,자동차관련시설 등 추천</t>
        </is>
      </c>
      <c r="L3209" s="6">
        <f>HYPERLINK("https://fin.land.naver.com/articles/2654608888", "매물Link")</f>
        <v/>
      </c>
      <c r="M3209" s="6">
        <f>HYPERLINK("https://map.naver.com/p/search/현도면 중삼리 297-12", "지도Link")</f>
        <v/>
      </c>
      <c r="N3209" s="6">
        <f>HYPERLINK("http://www.eum.go.kr/web/ar/lu/luLandDet.jsp?pnu=4311232022102970012&amp;isNoScr=script&amp;mode=search", "토지이음")</f>
        <v/>
      </c>
      <c r="O3209" s="3" t="inlineStr">
        <is>
          <t>금화랜드</t>
        </is>
      </c>
      <c r="P3209" s="4" t="n">
        <v>1</v>
      </c>
      <c r="Q3209" s="4" t="n">
        <v>2167</v>
      </c>
      <c r="R3209" s="3" t="inlineStr">
        <is>
          <t>지정되지않음</t>
        </is>
      </c>
      <c r="S3209" s="3" t="inlineStr">
        <is>
          <t>공업기타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세로한면(가)</t>
        </is>
      </c>
    </row>
    <row r="3210">
      <c r="A3210" s="3" t="inlineStr">
        <is>
          <t>현도면 중삼리 347</t>
        </is>
      </c>
      <c r="B3210" s="3" t="inlineStr">
        <is>
          <t>계획관리지역</t>
        </is>
      </c>
      <c r="C3210" s="3" t="inlineStr">
        <is>
          <t>전</t>
        </is>
      </c>
      <c r="D3210" s="3" t="inlineStr">
        <is>
          <t>공장용지</t>
        </is>
      </c>
      <c r="E3210" s="3" t="inlineStr">
        <is>
          <t>매매</t>
        </is>
      </c>
      <c r="F3210" s="4" t="n">
        <v>230000</v>
      </c>
      <c r="G3210" s="4" t="n">
        <v>10211</v>
      </c>
      <c r="H3210" s="4" t="n">
        <v>3089</v>
      </c>
      <c r="I3210" s="5" t="n">
        <v>74.5</v>
      </c>
      <c r="J3210" s="5" t="n">
        <v>20.9</v>
      </c>
      <c r="K3210" s="3" t="inlineStr">
        <is>
          <t>토목공사완료.</t>
        </is>
      </c>
      <c r="L3210" s="6">
        <f>HYPERLINK("https://fin.land.naver.com/articles/2655174551", "매물Link")</f>
        <v/>
      </c>
      <c r="M3210" s="6">
        <f>HYPERLINK("https://map.naver.com/p/search/현도면 중삼리 347", "지도Link")</f>
        <v/>
      </c>
      <c r="N3210" s="6">
        <f>HYPERLINK("http://www.eum.go.kr/web/ar/lu/luLandDet.jsp?pnu=4311232022103470000&amp;isNoScr=script&amp;mode=search", "토지이음")</f>
        <v/>
      </c>
      <c r="O3210" s="3" t="inlineStr">
        <is>
          <t>대전명품</t>
        </is>
      </c>
      <c r="P3210" s="4" t="n">
        <v>1</v>
      </c>
      <c r="Q3210" s="4" t="n">
        <v>321</v>
      </c>
      <c r="R3210" s="3" t="inlineStr">
        <is>
          <t>지정되지않음</t>
        </is>
      </c>
      <c r="S3210" s="3" t="inlineStr">
        <is>
          <t>전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중삼리 351</t>
        </is>
      </c>
      <c r="B3211" s="3" t="inlineStr">
        <is>
          <t>계획관리지역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1140000</v>
      </c>
      <c r="G3211" s="4" t="n">
        <v>44628</v>
      </c>
      <c r="H3211" s="4" t="n">
        <v>13500</v>
      </c>
      <c r="I3211" s="5" t="n">
        <v>84.40000000000001</v>
      </c>
      <c r="J3211" s="5" t="n">
        <v>22</v>
      </c>
      <c r="K3211" s="3" t="inlineStr">
        <is>
          <t>남청주IC 5분, 개발행위허가 완료 산업용 개발 부지 급매</t>
        </is>
      </c>
      <c r="L3211" s="6">
        <f>HYPERLINK("https://fin.land.naver.com/articles/2655715992", "매물Link")</f>
        <v/>
      </c>
      <c r="M3211" s="6">
        <f>HYPERLINK("https://map.naver.com/p/search/현도면 중삼리 351", "지도Link")</f>
        <v/>
      </c>
      <c r="N3211" s="6">
        <f>HYPERLINK("http://www.eum.go.kr/web/ar/lu/luLandDet.jsp?pnu=4311232022103510000&amp;isNoScr=script&amp;mode=search", "토지이음")</f>
        <v/>
      </c>
      <c r="O3211" s="3" t="inlineStr">
        <is>
          <t>월드</t>
        </is>
      </c>
      <c r="P3211" s="4" t="n">
        <v>1</v>
      </c>
      <c r="Q3211" s="4" t="n">
        <v>565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세로한면(불)</t>
        </is>
      </c>
    </row>
    <row r="3212">
      <c r="A3212" s="3" t="inlineStr">
        <is>
          <t>현도면 중삼리 351</t>
        </is>
      </c>
      <c r="B3212" s="3" t="inlineStr">
        <is>
          <t>계획관리지역</t>
        </is>
      </c>
      <c r="C3212" s="3" t="inlineStr">
        <is>
          <t>전</t>
        </is>
      </c>
      <c r="D3212" s="3" t="inlineStr">
        <is>
          <t>임야</t>
        </is>
      </c>
      <c r="E3212" s="3" t="inlineStr">
        <is>
          <t>매매</t>
        </is>
      </c>
      <c r="F3212" s="4" t="n">
        <v>1140000</v>
      </c>
      <c r="G3212" s="4" t="n">
        <v>44628</v>
      </c>
      <c r="H3212" s="4" t="n">
        <v>13500</v>
      </c>
      <c r="I3212" s="5" t="n">
        <v>84.40000000000001</v>
      </c>
      <c r="J3212" s="5" t="n">
        <v>22</v>
      </c>
      <c r="K3212" s="3" t="inlineStr">
        <is>
          <t>남청주 IC약 5분거리 위치한 물류 부지 및 공장,창고 용지 입니다</t>
        </is>
      </c>
      <c r="L3212" s="6">
        <f>HYPERLINK("https://fin.land.naver.com/articles/2655244033", "매물Link")</f>
        <v/>
      </c>
      <c r="M3212" s="6">
        <f>HYPERLINK("https://map.naver.com/p/search/현도면 중삼리 351", "지도Link")</f>
        <v/>
      </c>
      <c r="N3212" s="6">
        <f>HYPERLINK("http://www.eum.go.kr/web/ar/lu/luLandDet.jsp?pnu=4311232022103510000&amp;isNoScr=script&amp;mode=search", "토지이음")</f>
        <v/>
      </c>
      <c r="O3212" s="3" t="inlineStr">
        <is>
          <t>더행복</t>
        </is>
      </c>
      <c r="P3212" s="4" t="n">
        <v>1</v>
      </c>
      <c r="Q3212" s="4" t="n">
        <v>565</v>
      </c>
      <c r="R3212" s="3" t="inlineStr">
        <is>
          <t>지정되지않음</t>
        </is>
      </c>
      <c r="S3212" s="3" t="inlineStr">
        <is>
          <t>전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세로한면(불)</t>
        </is>
      </c>
    </row>
    <row r="3213">
      <c r="A3213" s="3" t="inlineStr">
        <is>
          <t>현도면 중삼리 357</t>
        </is>
      </c>
      <c r="B3213" s="3" t="inlineStr">
        <is>
          <t>계획관리지역</t>
        </is>
      </c>
      <c r="C3213" s="3" t="inlineStr">
        <is>
          <t>전</t>
        </is>
      </c>
      <c r="D3213" s="3" t="inlineStr">
        <is>
          <t>전</t>
        </is>
      </c>
      <c r="E3213" s="3" t="inlineStr">
        <is>
          <t>매매</t>
        </is>
      </c>
      <c r="F3213" s="4" t="n">
        <v>1140000</v>
      </c>
      <c r="G3213" s="4" t="n">
        <v>44628</v>
      </c>
      <c r="H3213" s="4" t="n">
        <v>13500</v>
      </c>
      <c r="I3213" s="5" t="n">
        <v>84.40000000000001</v>
      </c>
      <c r="J3213" s="5" t="n">
        <v>22.9</v>
      </c>
      <c r="K3213" s="3" t="inlineStr">
        <is>
          <t>nan</t>
        </is>
      </c>
      <c r="L3213" s="6">
        <f>HYPERLINK("https://fin.land.naver.com/articles/2655492876", "매물Link")</f>
        <v/>
      </c>
      <c r="M3213" s="6">
        <f>HYPERLINK("https://map.naver.com/p/search/현도면 중삼리 357", "지도Link")</f>
        <v/>
      </c>
      <c r="N3213" s="6">
        <f>HYPERLINK("http://www.eum.go.kr/web/ar/lu/luLandDet.jsp?pnu=4311232022103570000&amp;isNoScr=script&amp;mode=search", "토지이음")</f>
        <v/>
      </c>
      <c r="O3213" s="3" t="inlineStr">
        <is>
          <t>대전토지로무소</t>
        </is>
      </c>
      <c r="P3213" s="4" t="n">
        <v>1</v>
      </c>
      <c r="Q3213" s="4" t="n">
        <v>605</v>
      </c>
      <c r="R3213" s="3" t="inlineStr">
        <is>
          <t>지정되지않음</t>
        </is>
      </c>
      <c r="S3213" s="3" t="inlineStr">
        <is>
          <t>전</t>
        </is>
      </c>
      <c r="T3213" s="3" t="inlineStr">
        <is>
          <t>완경사</t>
        </is>
      </c>
      <c r="U3213" s="3" t="inlineStr">
        <is>
          <t>사다리형</t>
        </is>
      </c>
      <c r="V3213" s="3" t="inlineStr">
        <is>
          <t>맹지</t>
        </is>
      </c>
    </row>
    <row r="3214">
      <c r="A3214" s="3" t="inlineStr">
        <is>
          <t>현도면 중삼리 4-3</t>
        </is>
      </c>
      <c r="B3214" s="3" t="inlineStr">
        <is>
          <t>계획관리지역</t>
        </is>
      </c>
      <c r="C3214" s="3" t="inlineStr">
        <is>
          <t>전</t>
        </is>
      </c>
      <c r="D3214" s="3" t="inlineStr">
        <is>
          <t>전</t>
        </is>
      </c>
      <c r="E3214" s="3" t="inlineStr">
        <is>
          <t>매매</t>
        </is>
      </c>
      <c r="F3214" s="4" t="n">
        <v>45000</v>
      </c>
      <c r="G3214" s="4" t="n">
        <v>1775</v>
      </c>
      <c r="H3214" s="4" t="n">
        <v>537</v>
      </c>
      <c r="I3214" s="5" t="n">
        <v>83.8</v>
      </c>
      <c r="J3214" s="5" t="n">
        <v>26.3</v>
      </c>
      <c r="K3214" s="3" t="inlineStr">
        <is>
          <t>진출입 용이, 공장 지대로 민원발생 없음, 공장 및 창고 용지로 추천</t>
        </is>
      </c>
      <c r="L3214" s="6">
        <f>HYPERLINK("https://fin.land.naver.com/articles/2651477083", "매물Link")</f>
        <v/>
      </c>
      <c r="M3214" s="6">
        <f>HYPERLINK("https://map.naver.com/p/search/현도면 중삼리 4-3", "지도Link")</f>
        <v/>
      </c>
      <c r="N3214" s="6">
        <f>HYPERLINK("http://www.eum.go.kr/web/ar/lu/luLandDet.jsp?pnu=4311232022100040003&amp;isNoScr=script&amp;mode=search", "토지이음")</f>
        <v/>
      </c>
      <c r="O3214" s="3" t="inlineStr">
        <is>
          <t>제이</t>
        </is>
      </c>
      <c r="P3214" s="4" t="n">
        <v>1</v>
      </c>
      <c r="Q3214" s="4" t="n">
        <v>1775</v>
      </c>
      <c r="R3214" s="3" t="inlineStr">
        <is>
          <t>지정되지않음</t>
        </is>
      </c>
      <c r="S3214" s="3" t="inlineStr">
        <is>
          <t>전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중삼리 산20-33</t>
        </is>
      </c>
      <c r="B3215" s="3" t="inlineStr">
        <is>
          <t>계획관리지역</t>
        </is>
      </c>
      <c r="C3215" s="3" t="inlineStr">
        <is>
          <t>임야</t>
        </is>
      </c>
      <c r="D3215" s="3" t="inlineStr">
        <is>
          <t>전</t>
        </is>
      </c>
      <c r="E3215" s="3" t="inlineStr">
        <is>
          <t>매매</t>
        </is>
      </c>
      <c r="F3215" s="4" t="n">
        <v>387000</v>
      </c>
      <c r="G3215" s="4" t="n">
        <v>12188</v>
      </c>
      <c r="H3215" s="4" t="n">
        <v>3687</v>
      </c>
      <c r="I3215" s="5" t="n">
        <v>105</v>
      </c>
      <c r="J3215" s="5" t="n">
        <v>5.8</v>
      </c>
      <c r="K3215" s="3" t="inlineStr">
        <is>
          <t>공장부지.2차선도로접</t>
        </is>
      </c>
      <c r="L3215" s="6">
        <f>HYPERLINK("https://fin.land.naver.com/articles/2654974376", "매물Link")</f>
        <v/>
      </c>
      <c r="M3215" s="6">
        <f>HYPERLINK("https://map.naver.com/p/search/현도면 중삼리 산20-33", "지도Link")</f>
        <v/>
      </c>
      <c r="N3215" s="6">
        <f>HYPERLINK("http://www.eum.go.kr/web/ar/lu/luLandDet.jsp?pnu=4311232022200200033&amp;isNoScr=script&amp;mode=search", "토지이음")</f>
        <v/>
      </c>
      <c r="O3215" s="3" t="inlineStr">
        <is>
          <t>세종로또</t>
        </is>
      </c>
      <c r="P3215" s="4" t="n">
        <v>1</v>
      </c>
      <c r="Q3215" s="4" t="n">
        <v>8838</v>
      </c>
      <c r="R3215" s="3" t="inlineStr">
        <is>
          <t>지정되지않음</t>
        </is>
      </c>
      <c r="S3215" s="3" t="inlineStr">
        <is>
          <t>자연림</t>
        </is>
      </c>
      <c r="T3215" s="3" t="inlineStr">
        <is>
          <t>완경사</t>
        </is>
      </c>
      <c r="U3215" s="3" t="inlineStr">
        <is>
          <t>부정형</t>
        </is>
      </c>
      <c r="V3215" s="3" t="inlineStr">
        <is>
          <t>맹지</t>
        </is>
      </c>
    </row>
    <row r="3216">
      <c r="A3216" s="3" t="inlineStr">
        <is>
          <t>현도면 중삼리 산20-33</t>
        </is>
      </c>
      <c r="B3216" s="3" t="inlineStr">
        <is>
          <t>계획관리지역</t>
        </is>
      </c>
      <c r="C3216" s="3" t="inlineStr">
        <is>
          <t>임야</t>
        </is>
      </c>
      <c r="D3216" s="3" t="inlineStr">
        <is>
          <t>임야</t>
        </is>
      </c>
      <c r="E3216" s="3" t="inlineStr">
        <is>
          <t>매매</t>
        </is>
      </c>
      <c r="F3216" s="4" t="n">
        <v>387000</v>
      </c>
      <c r="G3216" s="4" t="n">
        <v>12790</v>
      </c>
      <c r="H3216" s="4" t="n">
        <v>3869</v>
      </c>
      <c r="I3216" s="5" t="n">
        <v>100</v>
      </c>
      <c r="J3216" s="5" t="n">
        <v>5.8</v>
      </c>
      <c r="K3216" s="3" t="inlineStr">
        <is>
          <t>8M도로접 공장허가득 남청주ic 5분거리</t>
        </is>
      </c>
      <c r="L3216" s="6">
        <f>HYPERLINK("https://fin.land.naver.com/articles/2653108400", "매물Link")</f>
        <v/>
      </c>
      <c r="M3216" s="6">
        <f>HYPERLINK("https://map.naver.com/p/search/현도면 중삼리 산20-33", "지도Link")</f>
        <v/>
      </c>
      <c r="N3216" s="6">
        <f>HYPERLINK("http://www.eum.go.kr/web/ar/lu/luLandDet.jsp?pnu=4311232022200200033&amp;isNoScr=script&amp;mode=search", "토지이음")</f>
        <v/>
      </c>
      <c r="O3216" s="3" t="inlineStr">
        <is>
          <t>플러스태양</t>
        </is>
      </c>
      <c r="P3216" s="4" t="n">
        <v>1</v>
      </c>
      <c r="Q3216" s="4" t="n">
        <v>8838</v>
      </c>
      <c r="R3216" s="3" t="inlineStr">
        <is>
          <t>지정되지않음</t>
        </is>
      </c>
      <c r="S3216" s="3" t="inlineStr">
        <is>
          <t>자연림</t>
        </is>
      </c>
      <c r="T3216" s="3" t="inlineStr">
        <is>
          <t>완경사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현도면 중삼리 산6</t>
        </is>
      </c>
      <c r="B3217" s="3" t="inlineStr">
        <is>
          <t>계획관리지역</t>
        </is>
      </c>
      <c r="C3217" s="3" t="inlineStr">
        <is>
          <t>임야</t>
        </is>
      </c>
      <c r="D3217" s="3" t="inlineStr">
        <is>
          <t>대</t>
        </is>
      </c>
      <c r="E3217" s="3" t="inlineStr">
        <is>
          <t>매매</t>
        </is>
      </c>
      <c r="F3217" s="4" t="n">
        <v>250000</v>
      </c>
      <c r="G3217" s="4" t="n">
        <v>7954</v>
      </c>
      <c r="H3217" s="4" t="n">
        <v>2406</v>
      </c>
      <c r="I3217" s="5" t="n">
        <v>103.9</v>
      </c>
      <c r="J3217" s="5" t="n">
        <v>6.4</v>
      </c>
      <c r="K3217" s="3" t="inlineStr">
        <is>
          <t>남청주IC와 가까워 대형차 진출입이 편리한곳, 현도산업단지 인근에위치</t>
        </is>
      </c>
      <c r="L3217" s="6">
        <f>HYPERLINK("https://fin.land.naver.com/articles/2654296609", "매물Link")</f>
        <v/>
      </c>
      <c r="M3217" s="6">
        <f>HYPERLINK("https://map.naver.com/p/search/현도면 중삼리 산6", "지도Link")</f>
        <v/>
      </c>
      <c r="N3217" s="6">
        <f>HYPERLINK("http://www.eum.go.kr/web/ar/lu/luLandDet.jsp?pnu=4311232022200060000&amp;isNoScr=script&amp;mode=search", "토지이음")</f>
        <v/>
      </c>
      <c r="O3217" s="3" t="inlineStr">
        <is>
          <t>(주)미르</t>
        </is>
      </c>
      <c r="P3217" s="4" t="n">
        <v>2</v>
      </c>
      <c r="Q3217" s="4" t="n">
        <v>6149</v>
      </c>
      <c r="R3217" s="3" t="inlineStr">
        <is>
          <t>지정되지않음</t>
        </is>
      </c>
      <c r="S3217" s="3" t="inlineStr">
        <is>
          <t>자연림</t>
        </is>
      </c>
      <c r="T3217" s="3" t="inlineStr">
        <is>
          <t>완경사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중삼리 산7-1</t>
        </is>
      </c>
      <c r="B3218" s="3" t="inlineStr">
        <is>
          <t>계획관리지역</t>
        </is>
      </c>
      <c r="C3218" s="3" t="inlineStr">
        <is>
          <t>임야</t>
        </is>
      </c>
      <c r="D3218" s="3" t="inlineStr">
        <is>
          <t>임야</t>
        </is>
      </c>
      <c r="E3218" s="3" t="inlineStr">
        <is>
          <t>매매</t>
        </is>
      </c>
      <c r="F3218" s="4" t="n">
        <v>1500000</v>
      </c>
      <c r="G3218" s="4" t="n">
        <v>39570</v>
      </c>
      <c r="H3218" s="4" t="n">
        <v>11970</v>
      </c>
      <c r="I3218" s="5" t="n">
        <v>125.3</v>
      </c>
      <c r="J3218" s="5" t="n">
        <v>6.4</v>
      </c>
      <c r="K3218" s="3" t="inlineStr">
        <is>
          <t>남청주ic 6분거리 물류창고허가득한 토지 매매</t>
        </is>
      </c>
      <c r="L3218" s="6">
        <f>HYPERLINK("https://fin.land.naver.com/articles/2654178584", "매물Link")</f>
        <v/>
      </c>
      <c r="M3218" s="6">
        <f>HYPERLINK("https://map.naver.com/p/search/현도면 중삼리 산7-1", "지도Link")</f>
        <v/>
      </c>
      <c r="N3218" s="6">
        <f>HYPERLINK("http://www.eum.go.kr/web/ar/lu/luLandDet.jsp?pnu=4311232022200070001&amp;isNoScr=script&amp;mode=search", "토지이음")</f>
        <v/>
      </c>
      <c r="O3218" s="3" t="inlineStr">
        <is>
          <t>더원</t>
        </is>
      </c>
      <c r="P3218" s="4" t="n">
        <v>1</v>
      </c>
      <c r="Q3218" s="4" t="n">
        <v>34141</v>
      </c>
      <c r="R3218" s="3" t="inlineStr">
        <is>
          <t>지정되지않음</t>
        </is>
      </c>
      <c r="S3218" s="3" t="inlineStr">
        <is>
          <t>자연림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중삼리 산7-1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임야</t>
        </is>
      </c>
      <c r="E3219" s="3" t="inlineStr">
        <is>
          <t>매매</t>
        </is>
      </c>
      <c r="F3219" s="4" t="n">
        <v>1500000</v>
      </c>
      <c r="G3219" s="4" t="n">
        <v>34141</v>
      </c>
      <c r="H3219" s="4" t="n">
        <v>10328</v>
      </c>
      <c r="I3219" s="5" t="n">
        <v>145.2</v>
      </c>
      <c r="J3219" s="5" t="n">
        <v>6.4</v>
      </c>
      <c r="K3219" s="3" t="inlineStr">
        <is>
          <t>물류창고부지 허가득</t>
        </is>
      </c>
      <c r="L3219" s="6">
        <f>HYPERLINK("https://fin.land.naver.com/articles/2651895185", "매물Link")</f>
        <v/>
      </c>
      <c r="M3219" s="6">
        <f>HYPERLINK("https://map.naver.com/p/search/현도면 중삼리 산7-1", "지도Link")</f>
        <v/>
      </c>
      <c r="N3219" s="6">
        <f>HYPERLINK("http://www.eum.go.kr/web/ar/lu/luLandDet.jsp?pnu=4311232022200070001&amp;isNoScr=script&amp;mode=search", "토지이음")</f>
        <v/>
      </c>
      <c r="O3219" s="3" t="inlineStr">
        <is>
          <t>케이투(k2)</t>
        </is>
      </c>
      <c r="P3219" s="4" t="n">
        <v>1</v>
      </c>
      <c r="Q3219" s="4" t="n">
        <v>34141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중삼리 산7-2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임야</t>
        </is>
      </c>
      <c r="E3220" s="3" t="inlineStr">
        <is>
          <t>매매</t>
        </is>
      </c>
      <c r="F3220" s="4" t="n">
        <v>1500000</v>
      </c>
      <c r="G3220" s="4" t="n">
        <v>39570</v>
      </c>
      <c r="H3220" s="4" t="n">
        <v>11970</v>
      </c>
      <c r="I3220" s="5" t="n">
        <v>125.3</v>
      </c>
      <c r="J3220" s="5" t="n">
        <v>4.9</v>
      </c>
      <c r="K3220" s="3" t="inlineStr">
        <is>
          <t>남청주IC 5분거리, 물류창고로 허가득한 토지 매매</t>
        </is>
      </c>
      <c r="L3220" s="6">
        <f>HYPERLINK("https://fin.land.naver.com/articles/2652790912", "매물Link")</f>
        <v/>
      </c>
      <c r="M3220" s="6">
        <f>HYPERLINK("https://map.naver.com/p/search/현도면 중삼리 산7-2", "지도Link")</f>
        <v/>
      </c>
      <c r="N3220" s="6">
        <f>HYPERLINK("http://www.eum.go.kr/web/ar/lu/luLandDet.jsp?pnu=4311232022200070002&amp;isNoScr=script&amp;mode=search", "토지이음")</f>
        <v/>
      </c>
      <c r="O3220" s="3" t="inlineStr">
        <is>
          <t>금화랜드</t>
        </is>
      </c>
      <c r="P3220" s="4" t="n">
        <v>1</v>
      </c>
      <c r="Q3220" s="4" t="n">
        <v>298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급경사</t>
        </is>
      </c>
      <c r="U3220" s="3" t="inlineStr">
        <is>
          <t>부정형</t>
        </is>
      </c>
      <c r="V3220" s="3" t="inlineStr">
        <is>
          <t>맹지</t>
        </is>
      </c>
    </row>
    <row r="3221">
      <c r="A3221" s="3" t="inlineStr">
        <is>
          <t>현도면 중삼리 산8-15</t>
        </is>
      </c>
      <c r="B3221" s="3" t="inlineStr">
        <is>
          <t>계획관리지역</t>
        </is>
      </c>
      <c r="C3221" s="3" t="inlineStr">
        <is>
          <t>임야</t>
        </is>
      </c>
      <c r="D3221" s="3" t="inlineStr">
        <is>
          <t>임야</t>
        </is>
      </c>
      <c r="E3221" s="3" t="inlineStr">
        <is>
          <t>매매</t>
        </is>
      </c>
      <c r="F3221" s="4" t="n">
        <v>500000</v>
      </c>
      <c r="G3221" s="4" t="n">
        <v>19443</v>
      </c>
      <c r="H3221" s="4" t="n">
        <v>5882</v>
      </c>
      <c r="I3221" s="5" t="n">
        <v>85</v>
      </c>
      <c r="J3221" s="5" t="n">
        <v>4.6</v>
      </c>
      <c r="K3221" s="3" t="inlineStr">
        <is>
          <t>활용도 좋은 계획관리지역으로 토목 공사 완료된 넓은 토지</t>
        </is>
      </c>
      <c r="L3221" s="6">
        <f>HYPERLINK("https://fin.land.naver.com/articles/2654968921", "매물Link")</f>
        <v/>
      </c>
      <c r="M3221" s="6">
        <f>HYPERLINK("https://map.naver.com/p/search/현도면 중삼리 산8-15", "지도Link")</f>
        <v/>
      </c>
      <c r="N3221" s="6">
        <f>HYPERLINK("http://www.eum.go.kr/web/ar/lu/luLandDet.jsp?pnu=4311232022200080015&amp;isNoScr=script&amp;mode=search", "토지이음")</f>
        <v/>
      </c>
      <c r="O3221" s="3" t="inlineStr">
        <is>
          <t>(주)미르</t>
        </is>
      </c>
      <c r="P3221" s="4" t="n">
        <v>1</v>
      </c>
      <c r="Q3221" s="4" t="n">
        <v>12831</v>
      </c>
      <c r="R3221" s="3" t="inlineStr">
        <is>
          <t>지정되지않음</t>
        </is>
      </c>
      <c r="S3221" s="3" t="inlineStr">
        <is>
          <t>자연림</t>
        </is>
      </c>
      <c r="T3221" s="3" t="inlineStr">
        <is>
          <t>급경사</t>
        </is>
      </c>
      <c r="U3221" s="3" t="inlineStr">
        <is>
          <t>사다리형</t>
        </is>
      </c>
      <c r="V3221" s="3" t="inlineStr">
        <is>
          <t>맹지</t>
        </is>
      </c>
    </row>
    <row r="3222">
      <c r="A3222" s="3" t="inlineStr">
        <is>
          <t>현도면 중삼리 산8-15</t>
        </is>
      </c>
      <c r="B3222" s="3" t="inlineStr">
        <is>
          <t>계획관리지역</t>
        </is>
      </c>
      <c r="C3222" s="3" t="inlineStr">
        <is>
          <t>임야</t>
        </is>
      </c>
      <c r="D3222" s="3" t="inlineStr">
        <is>
          <t>임야</t>
        </is>
      </c>
      <c r="E3222" s="3" t="inlineStr">
        <is>
          <t>매매</t>
        </is>
      </c>
      <c r="F3222" s="4" t="n">
        <v>500000</v>
      </c>
      <c r="G3222" s="4" t="n">
        <v>19443</v>
      </c>
      <c r="H3222" s="4" t="n">
        <v>5882</v>
      </c>
      <c r="I3222" s="5" t="n">
        <v>85</v>
      </c>
      <c r="J3222" s="5" t="n">
        <v>4.6</v>
      </c>
      <c r="K3222" s="3" t="inlineStr">
        <is>
          <t>토목공사완료된 공장부지</t>
        </is>
      </c>
      <c r="L3222" s="6">
        <f>HYPERLINK("https://fin.land.naver.com/articles/2655173810", "매물Link")</f>
        <v/>
      </c>
      <c r="M3222" s="6">
        <f>HYPERLINK("https://map.naver.com/p/search/현도면 중삼리 산8-15", "지도Link")</f>
        <v/>
      </c>
      <c r="N3222" s="6">
        <f>HYPERLINK("http://www.eum.go.kr/web/ar/lu/luLandDet.jsp?pnu=4311232022200080015&amp;isNoScr=script&amp;mode=search", "토지이음")</f>
        <v/>
      </c>
      <c r="O3222" s="3" t="inlineStr">
        <is>
          <t>대전명품</t>
        </is>
      </c>
      <c r="P3222" s="4" t="n">
        <v>1</v>
      </c>
      <c r="Q3222" s="4" t="n">
        <v>12831</v>
      </c>
      <c r="R3222" s="3" t="inlineStr">
        <is>
          <t>지정되지않음</t>
        </is>
      </c>
      <c r="S3222" s="3" t="inlineStr">
        <is>
          <t>자연림</t>
        </is>
      </c>
      <c r="T3222" s="3" t="inlineStr">
        <is>
          <t>급경사</t>
        </is>
      </c>
      <c r="U3222" s="3" t="inlineStr">
        <is>
          <t>사다리형</t>
        </is>
      </c>
      <c r="V3222" s="3" t="inlineStr">
        <is>
          <t>맹지</t>
        </is>
      </c>
    </row>
    <row r="3223">
      <c r="A3223" s="3" t="inlineStr">
        <is>
          <t>현도면 중삼리 산8-16</t>
        </is>
      </c>
      <c r="B3223" s="3" t="inlineStr">
        <is>
          <t>계획관리지역</t>
        </is>
      </c>
      <c r="C3223" s="3" t="inlineStr">
        <is>
          <t>임야</t>
        </is>
      </c>
      <c r="D3223" s="3" t="inlineStr">
        <is>
          <t>임야</t>
        </is>
      </c>
      <c r="E3223" s="3" t="inlineStr">
        <is>
          <t>매매</t>
        </is>
      </c>
      <c r="F3223" s="4" t="n">
        <v>230000</v>
      </c>
      <c r="G3223" s="4" t="n">
        <v>9904</v>
      </c>
      <c r="H3223" s="4" t="n">
        <v>2996</v>
      </c>
      <c r="I3223" s="5" t="n">
        <v>76.8</v>
      </c>
      <c r="J3223" s="5" t="n">
        <v>4.6</v>
      </c>
      <c r="K3223" s="3" t="inlineStr">
        <is>
          <t>활용도 좋은 계획관리지역으로 토목 공사 완료된 넓은 토지</t>
        </is>
      </c>
      <c r="L3223" s="6">
        <f>HYPERLINK("https://fin.land.naver.com/articles/2654780098", "매물Link")</f>
        <v/>
      </c>
      <c r="M3223" s="6">
        <f>HYPERLINK("https://map.naver.com/p/search/현도면 중삼리 산8-16", "지도Link")</f>
        <v/>
      </c>
      <c r="N3223" s="6">
        <f>HYPERLINK("http://www.eum.go.kr/web/ar/lu/luLandDet.jsp?pnu=4311232022200080016&amp;isNoScr=script&amp;mode=search", "토지이음")</f>
        <v/>
      </c>
      <c r="O3223" s="3" t="inlineStr">
        <is>
          <t>(주)미르</t>
        </is>
      </c>
      <c r="P3223" s="4" t="n">
        <v>1</v>
      </c>
      <c r="Q3223" s="4" t="n">
        <v>8470</v>
      </c>
      <c r="R3223" s="3" t="inlineStr">
        <is>
          <t>지정되지않음</t>
        </is>
      </c>
      <c r="S3223" s="3" t="inlineStr">
        <is>
          <t>자연림</t>
        </is>
      </c>
      <c r="T3223" s="3" t="inlineStr">
        <is>
          <t>급경사</t>
        </is>
      </c>
      <c r="U3223" s="3" t="inlineStr">
        <is>
          <t>부정형</t>
        </is>
      </c>
      <c r="V3223" s="3" t="inlineStr">
        <is>
          <t>맹지</t>
        </is>
      </c>
    </row>
    <row r="3224">
      <c r="A3224" s="3" t="inlineStr">
        <is>
          <t>현도면 중척리 398-1</t>
        </is>
      </c>
      <c r="B3224" s="3" t="inlineStr">
        <is>
          <t>개발제한구역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25000</v>
      </c>
      <c r="G3224" s="4" t="n">
        <v>1986</v>
      </c>
      <c r="H3224" s="4" t="n">
        <v>601</v>
      </c>
      <c r="I3224" s="5" t="n">
        <v>41.6</v>
      </c>
      <c r="J3224" s="5" t="n">
        <v>22.3</v>
      </c>
      <c r="K3224" s="3" t="inlineStr">
        <is>
          <t>중척리 토지매매, 도로옆, 버스 다니는 길, 네모난 모양</t>
        </is>
      </c>
      <c r="L3224" s="6">
        <f>HYPERLINK("https://fin.land.naver.com/articles/2654178590", "매물Link")</f>
        <v/>
      </c>
      <c r="M3224" s="6">
        <f>HYPERLINK("https://map.naver.com/p/search/현도면 중척리 398-1", "지도Link")</f>
        <v/>
      </c>
      <c r="N3224" s="6">
        <f>HYPERLINK("http://www.eum.go.kr/web/ar/lu/luLandDet.jsp?pnu=4311232028103980001&amp;isNoScr=script&amp;mode=search",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1986</v>
      </c>
      <c r="R3224" s="3" t="inlineStr">
        <is>
          <t>지정되지않음</t>
        </is>
      </c>
      <c r="S3224" s="3" t="inlineStr">
        <is>
          <t>전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세로한면(가)</t>
        </is>
      </c>
    </row>
    <row r="3225">
      <c r="A3225" s="3" t="inlineStr">
        <is>
          <t>현도면 중척리 398-1</t>
        </is>
      </c>
      <c r="B3225" s="3" t="inlineStr">
        <is>
          <t>개발제한구역</t>
        </is>
      </c>
      <c r="C3225" s="3" t="inlineStr">
        <is>
          <t>전</t>
        </is>
      </c>
      <c r="D3225" s="3" t="inlineStr">
        <is>
          <t>전</t>
        </is>
      </c>
      <c r="E3225" s="3" t="inlineStr">
        <is>
          <t>매매</t>
        </is>
      </c>
      <c r="F3225" s="4" t="n">
        <v>25000</v>
      </c>
      <c r="G3225" s="4" t="n">
        <v>1986</v>
      </c>
      <c r="H3225" s="4" t="n">
        <v>601</v>
      </c>
      <c r="I3225" s="5" t="n">
        <v>41.6</v>
      </c>
      <c r="J3225" s="5" t="n">
        <v>22.3</v>
      </c>
      <c r="K3225" s="3" t="inlineStr">
        <is>
          <t>버스길에 접 , 토지모양이 네모 반듯함, 투자가치가 있는 좋은 토지</t>
        </is>
      </c>
      <c r="L3225" s="6">
        <f>HYPERLINK("https://fin.land.naver.com/articles/2655488231", "매물Link")</f>
        <v/>
      </c>
      <c r="M3225" s="6">
        <f>HYPERLINK("https://map.naver.com/p/search/현도면 중척리 398-1", "지도Link")</f>
        <v/>
      </c>
      <c r="N3225" s="6">
        <f>HYPERLINK("http://www.eum.go.kr/web/ar/lu/luLandDet.jsp?pnu=4311232028103980001&amp;isNoScr=script&amp;mode=search", "토지이음")</f>
        <v/>
      </c>
      <c r="O3225" s="3" t="inlineStr">
        <is>
          <t>대전토지로무소</t>
        </is>
      </c>
      <c r="P3225" s="4" t="n">
        <v>1</v>
      </c>
      <c r="Q3225" s="4" t="n">
        <v>1986</v>
      </c>
      <c r="R3225" s="3" t="inlineStr">
        <is>
          <t>지정되지않음</t>
        </is>
      </c>
      <c r="S3225" s="3" t="inlineStr">
        <is>
          <t>전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세로한면(가)</t>
        </is>
      </c>
    </row>
    <row r="3226">
      <c r="A3226" s="3" t="inlineStr">
        <is>
          <t>현도면 중척리 462-44</t>
        </is>
      </c>
      <c r="B3226" s="3" t="inlineStr">
        <is>
          <t>개발제한구역</t>
        </is>
      </c>
      <c r="C3226" s="3" t="inlineStr">
        <is>
          <t>전</t>
        </is>
      </c>
      <c r="D3226" s="3" t="inlineStr">
        <is>
          <t>전</t>
        </is>
      </c>
      <c r="E3226" s="3" t="inlineStr">
        <is>
          <t>매매</t>
        </is>
      </c>
      <c r="F3226" s="4" t="n">
        <v>22070</v>
      </c>
      <c r="G3226" s="4" t="n">
        <v>3647</v>
      </c>
      <c r="H3226" s="4" t="n">
        <v>1103</v>
      </c>
      <c r="I3226" s="5" t="n">
        <v>20</v>
      </c>
      <c r="J3226" s="5" t="n">
        <v>20.5</v>
      </c>
      <c r="K3226" s="3" t="inlineStr">
        <is>
          <t>금강 인근, 소도로 인접</t>
        </is>
      </c>
      <c r="L3226" s="6">
        <f>HYPERLINK("https://fin.land.naver.com/articles/2653662424", "매물Link")</f>
        <v/>
      </c>
      <c r="M3226" s="6">
        <f>HYPERLINK("https://map.naver.com/p/search/현도면 중척리 462-44", "지도Link")</f>
        <v/>
      </c>
      <c r="N3226" s="6">
        <f>HYPERLINK("http://www.eum.go.kr/web/ar/lu/luLandDet.jsp?pnu=4311232028104620044&amp;isNoScr=script&amp;mode=search", "토지이음")</f>
        <v/>
      </c>
      <c r="O3226" s="3" t="inlineStr">
        <is>
          <t>대지</t>
        </is>
      </c>
      <c r="P3226" s="4" t="n">
        <v>1</v>
      </c>
      <c r="Q3226" s="4" t="n">
        <v>3647</v>
      </c>
      <c r="R3226" s="3" t="inlineStr">
        <is>
          <t>지정되지않음</t>
        </is>
      </c>
      <c r="S3226" s="3" t="inlineStr">
        <is>
          <t>전</t>
        </is>
      </c>
      <c r="T3226" s="3" t="inlineStr">
        <is>
          <t>평지</t>
        </is>
      </c>
      <c r="U3226" s="3" t="inlineStr">
        <is>
          <t>사다리형</t>
        </is>
      </c>
      <c r="V3226" s="3" t="inlineStr">
        <is>
          <t>세로한면(가)</t>
        </is>
      </c>
    </row>
    <row r="3227">
      <c r="A3227" s="3" t="inlineStr">
        <is>
          <t>현도면 중척리 462-9</t>
        </is>
      </c>
      <c r="B3227" s="3" t="inlineStr">
        <is>
          <t>개발제한구역</t>
        </is>
      </c>
      <c r="C3227" s="3" t="inlineStr">
        <is>
          <t>전</t>
        </is>
      </c>
      <c r="D3227" s="3" t="inlineStr">
        <is>
          <t>전</t>
        </is>
      </c>
      <c r="E3227" s="3" t="inlineStr">
        <is>
          <t>매매</t>
        </is>
      </c>
      <c r="F3227" s="4" t="n">
        <v>24200</v>
      </c>
      <c r="G3227" s="4" t="n">
        <v>2000</v>
      </c>
      <c r="H3227" s="4" t="n">
        <v>605</v>
      </c>
      <c r="I3227" s="5" t="n">
        <v>40</v>
      </c>
      <c r="J3227" s="5" t="n">
        <v>20.5</v>
      </c>
      <c r="K3227" s="3" t="inlineStr">
        <is>
          <t>도로가, 직사각형 모양, 신탄진지역 차로 10분거리</t>
        </is>
      </c>
      <c r="L3227" s="6">
        <f>HYPERLINK("https://fin.land.naver.com/articles/2655015917", "매물Link")</f>
        <v/>
      </c>
      <c r="M3227" s="6">
        <f>HYPERLINK("https://map.naver.com/p/search/현도면 중척리 462-9", "지도Link")</f>
        <v/>
      </c>
      <c r="N3227" s="6">
        <f>HYPERLINK("http://www.eum.go.kr/web/ar/lu/luLandDet.jsp?pnu=4311232028104620009&amp;isNoScr=script&amp;mode=search", "토지이음")</f>
        <v/>
      </c>
      <c r="O3227" s="3" t="inlineStr">
        <is>
          <t>복돼지</t>
        </is>
      </c>
      <c r="P3227" s="4" t="n">
        <v>1</v>
      </c>
      <c r="Q3227" s="4" t="n">
        <v>2000</v>
      </c>
      <c r="R3227" s="3" t="inlineStr">
        <is>
          <t>지정되지않음</t>
        </is>
      </c>
      <c r="S3227" s="3" t="inlineStr">
        <is>
          <t>전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중척리 462-9</t>
        </is>
      </c>
      <c r="B3228" s="3" t="inlineStr">
        <is>
          <t>개발제한구역</t>
        </is>
      </c>
      <c r="C3228" s="3" t="inlineStr">
        <is>
          <t>전</t>
        </is>
      </c>
      <c r="D3228" s="3" t="inlineStr">
        <is>
          <t>전</t>
        </is>
      </c>
      <c r="E3228" s="3" t="inlineStr">
        <is>
          <t>매매</t>
        </is>
      </c>
      <c r="F3228" s="4" t="n">
        <v>21000</v>
      </c>
      <c r="G3228" s="4" t="n">
        <v>2000</v>
      </c>
      <c r="H3228" s="4" t="n">
        <v>605</v>
      </c>
      <c r="I3228" s="5" t="n">
        <v>34.7</v>
      </c>
      <c r="J3228" s="5" t="n">
        <v>20.5</v>
      </c>
      <c r="K3228" s="3" t="inlineStr">
        <is>
          <t>버스길에 접해 접근성 편리  투자 가치 있는 주말 농장  토지 매매</t>
        </is>
      </c>
      <c r="L3228" s="6">
        <f>HYPERLINK("https://fin.land.naver.com/articles/2654903350", "매물Link")</f>
        <v/>
      </c>
      <c r="M3228" s="6">
        <f>HYPERLINK("https://map.naver.com/p/search/현도면 중척리 462-9", "지도Link")</f>
        <v/>
      </c>
      <c r="N3228" s="6">
        <f>HYPERLINK("http://www.eum.go.kr/web/ar/lu/luLandDet.jsp?pnu=4311232028104620009&amp;isNoScr=script&amp;mode=search",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2000</v>
      </c>
      <c r="R3228" s="3" t="inlineStr">
        <is>
          <t>지정되지않음</t>
        </is>
      </c>
      <c r="S3228" s="3" t="inlineStr">
        <is>
          <t>전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중척리 473-11</t>
        </is>
      </c>
      <c r="B3229" s="3" t="inlineStr">
        <is>
          <t>개발제한구역</t>
        </is>
      </c>
      <c r="C3229" s="3" t="inlineStr">
        <is>
          <t>임야</t>
        </is>
      </c>
      <c r="D3229" s="3" t="inlineStr">
        <is>
          <t>임야</t>
        </is>
      </c>
      <c r="E3229" s="3" t="inlineStr">
        <is>
          <t>매매</t>
        </is>
      </c>
      <c r="F3229" s="4" t="n">
        <v>13000</v>
      </c>
      <c r="G3229" s="4" t="n">
        <v>990</v>
      </c>
      <c r="H3229" s="4" t="n">
        <v>299</v>
      </c>
      <c r="I3229" s="5" t="n">
        <v>43.5</v>
      </c>
      <c r="J3229" s="5" t="n">
        <v>19.2</v>
      </c>
      <c r="K3229" s="3" t="inlineStr">
        <is>
          <t>주말농장,도로접, 평탄한 전</t>
        </is>
      </c>
      <c r="L3229" s="6">
        <f>HYPERLINK("https://fin.land.naver.com/articles/2654680343", "매물Link")</f>
        <v/>
      </c>
      <c r="M3229" s="6">
        <f>HYPERLINK("https://map.naver.com/p/search/현도면 중척리 473-11", "지도Link")</f>
        <v/>
      </c>
      <c r="N3229" s="6">
        <f>HYPERLINK("http://www.eum.go.kr/web/ar/lu/luLandDet.jsp?pnu=4311232028104730011&amp;isNoScr=script&amp;mode=search", "토지이음")</f>
        <v/>
      </c>
      <c r="O3229" s="3" t="inlineStr">
        <is>
          <t>우리동네</t>
        </is>
      </c>
      <c r="P3229" s="4" t="n">
        <v>1</v>
      </c>
      <c r="Q3229" s="4" t="n">
        <v>990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세로장방</t>
        </is>
      </c>
      <c r="V3229" s="3" t="inlineStr">
        <is>
          <t>세로한면(가)</t>
        </is>
      </c>
    </row>
    <row r="3230">
      <c r="A3230" s="3" t="inlineStr">
        <is>
          <t>현도면 중척리 484-1</t>
        </is>
      </c>
      <c r="B3230" s="3" t="inlineStr">
        <is>
          <t>개발제한구역</t>
        </is>
      </c>
      <c r="C3230" s="3" t="inlineStr">
        <is>
          <t>답</t>
        </is>
      </c>
      <c r="D3230" s="3" t="inlineStr">
        <is>
          <t>답</t>
        </is>
      </c>
      <c r="E3230" s="3" t="inlineStr">
        <is>
          <t>매매</t>
        </is>
      </c>
      <c r="F3230" s="4" t="n">
        <v>26000</v>
      </c>
      <c r="G3230" s="4" t="n">
        <v>1653</v>
      </c>
      <c r="H3230" s="4" t="n">
        <v>500</v>
      </c>
      <c r="I3230" s="5" t="n">
        <v>52</v>
      </c>
      <c r="J3230" s="5" t="n">
        <v>20.1</v>
      </c>
      <c r="K3230" s="3" t="inlineStr">
        <is>
          <t>접근성 좋고 관정 전기 하우스 있는 주말 농장 용지, 자연 녹지 매매</t>
        </is>
      </c>
      <c r="L3230" s="6">
        <f>HYPERLINK("https://fin.land.naver.com/articles/2654906573", "매물Link")</f>
        <v/>
      </c>
      <c r="M3230" s="6">
        <f>HYPERLINK("https://map.naver.com/p/search/현도면 중척리 484-1", "지도Link")</f>
        <v/>
      </c>
      <c r="N3230" s="6">
        <f>HYPERLINK("http://www.eum.go.kr/web/ar/lu/luLandDet.jsp?pnu=4311232028104840001&amp;isNoScr=script&amp;mode=search",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836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세로각지(가)</t>
        </is>
      </c>
    </row>
    <row r="3231">
      <c r="A3231" s="3" t="inlineStr">
        <is>
          <t>현도면 중척리 484-1</t>
        </is>
      </c>
      <c r="B3231" s="3" t="inlineStr">
        <is>
          <t>개발제한구역</t>
        </is>
      </c>
      <c r="C3231" s="3" t="inlineStr">
        <is>
          <t>답</t>
        </is>
      </c>
      <c r="D3231" s="3" t="inlineStr">
        <is>
          <t>답</t>
        </is>
      </c>
      <c r="E3231" s="3" t="inlineStr">
        <is>
          <t>매매</t>
        </is>
      </c>
      <c r="F3231" s="4" t="n">
        <v>26000</v>
      </c>
      <c r="G3231" s="4" t="n">
        <v>1653</v>
      </c>
      <c r="H3231" s="4" t="n">
        <v>500</v>
      </c>
      <c r="I3231" s="5" t="n">
        <v>52</v>
      </c>
      <c r="J3231" s="5" t="n">
        <v>20.1</v>
      </c>
      <c r="K3231" s="3" t="inlineStr">
        <is>
          <t>도로가 코너에 접한 토지, 비닐하우스 2동 설치됨</t>
        </is>
      </c>
      <c r="L3231" s="6">
        <f>HYPERLINK("https://fin.land.naver.com/articles/2655015888", "매물Link")</f>
        <v/>
      </c>
      <c r="M3231" s="6">
        <f>HYPERLINK("https://map.naver.com/p/search/현도면 중척리 484-1", "지도Link")</f>
        <v/>
      </c>
      <c r="N3231" s="6">
        <f>HYPERLINK("http://www.eum.go.kr/web/ar/lu/luLandDet.jsp?pnu=4311232028104840001&amp;isNoScr=script&amp;mode=search", "토지이음")</f>
        <v/>
      </c>
      <c r="O3231" s="3" t="inlineStr">
        <is>
          <t>복돼지</t>
        </is>
      </c>
      <c r="P3231" s="4" t="n">
        <v>1</v>
      </c>
      <c r="Q3231" s="4" t="n">
        <v>836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세로각지(가)</t>
        </is>
      </c>
    </row>
    <row r="3232">
      <c r="A3232" s="3" t="inlineStr">
        <is>
          <t>현도면 하석리 124</t>
        </is>
      </c>
      <c r="B3232" s="3" t="inlineStr">
        <is>
          <t>개발제한구역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7900</v>
      </c>
      <c r="G3232" s="4" t="n">
        <v>2612</v>
      </c>
      <c r="H3232" s="4" t="n">
        <v>790</v>
      </c>
      <c r="I3232" s="5" t="n">
        <v>10</v>
      </c>
      <c r="J3232" s="5" t="n">
        <v>4.9</v>
      </c>
      <c r="K3232" s="3" t="inlineStr">
        <is>
          <t>급 매매 포장도로 접한 아주 저렴한 주말 농장 용지 매매, 농막설치 가능</t>
        </is>
      </c>
      <c r="L3232" s="6">
        <f>HYPERLINK("https://fin.land.naver.com/articles/2652882582", "매물Link")</f>
        <v/>
      </c>
      <c r="M3232" s="6">
        <f>HYPERLINK("https://map.naver.com/p/search/현도면 하석리 124", "지도Link")</f>
        <v/>
      </c>
      <c r="N3232" s="6">
        <f>HYPERLINK("http://www.eum.go.kr/web/ar/lu/luLandDet.jsp?pnu=4311232029101240000&amp;isNoScr=script&amp;mode=search", "토지이음")</f>
        <v/>
      </c>
      <c r="O3232" s="3" t="inlineStr">
        <is>
          <t>대전토지로무소</t>
        </is>
      </c>
      <c r="P3232" s="4" t="n">
        <v>2</v>
      </c>
      <c r="Q3232" s="4" t="n">
        <v>2612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하석리 21-4</t>
        </is>
      </c>
      <c r="B3233" s="3" t="inlineStr">
        <is>
          <t>개발제한구역</t>
        </is>
      </c>
      <c r="C3233" s="3" t="inlineStr">
        <is>
          <t>대</t>
        </is>
      </c>
      <c r="D3233" s="3" t="inlineStr">
        <is>
          <t>대</t>
        </is>
      </c>
      <c r="E3233" s="3" t="inlineStr">
        <is>
          <t>매매</t>
        </is>
      </c>
      <c r="F3233" s="4" t="n">
        <v>140000</v>
      </c>
      <c r="G3233" s="4" t="n">
        <v>1679</v>
      </c>
      <c r="H3233" s="4" t="n">
        <v>508</v>
      </c>
      <c r="I3233" s="5" t="n">
        <v>275.6</v>
      </c>
      <c r="J3233" s="5" t="n">
        <v>101</v>
      </c>
      <c r="K3233" s="3" t="inlineStr">
        <is>
          <t>아주귀한 대청댐 인접, 일반음식점 대형카페, 가든 , 아주저렴한 매물</t>
        </is>
      </c>
      <c r="L3233" s="6">
        <f>HYPERLINK("https://fin.land.naver.com/articles/2654927609", "매물Link")</f>
        <v/>
      </c>
      <c r="M3233" s="6">
        <f>HYPERLINK("https://map.naver.com/p/search/현도면 하석리 21-4", "지도Link")</f>
        <v/>
      </c>
      <c r="N3233" s="6">
        <f>HYPERLINK("http://www.eum.go.kr/web/ar/lu/luLandDet.jsp?pnu=4311232029100210004&amp;isNoScr=script&amp;mode=search",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567</v>
      </c>
      <c r="R3233" s="3" t="inlineStr">
        <is>
          <t>지정되지않음</t>
        </is>
      </c>
      <c r="S3233" s="3" t="inlineStr">
        <is>
          <t>상업용</t>
        </is>
      </c>
      <c r="T3233" s="3" t="inlineStr">
        <is>
          <t>평지</t>
        </is>
      </c>
      <c r="U3233" s="3" t="inlineStr">
        <is>
          <t>세로장방</t>
        </is>
      </c>
      <c r="V3233" s="3" t="inlineStr">
        <is>
          <t>소로한면</t>
        </is>
      </c>
    </row>
    <row r="3234">
      <c r="A3234" s="3" t="inlineStr">
        <is>
          <t>현도면 하석리 21-4</t>
        </is>
      </c>
      <c r="B3234" s="3" t="inlineStr">
        <is>
          <t>개발제한구역</t>
        </is>
      </c>
      <c r="C3234" s="3" t="inlineStr">
        <is>
          <t>대</t>
        </is>
      </c>
      <c r="D3234" s="3" t="inlineStr">
        <is>
          <t>대</t>
        </is>
      </c>
      <c r="E3234" s="3" t="inlineStr">
        <is>
          <t>매매</t>
        </is>
      </c>
      <c r="F3234" s="4" t="n">
        <v>140000</v>
      </c>
      <c r="G3234" s="4" t="n">
        <v>1679</v>
      </c>
      <c r="H3234" s="4" t="n">
        <v>508</v>
      </c>
      <c r="I3234" s="5" t="n">
        <v>275.6</v>
      </c>
      <c r="J3234" s="5" t="n">
        <v>101</v>
      </c>
      <c r="K3234" s="3" t="inlineStr">
        <is>
          <t>현재 식당으로 성업중 주택 및 식당건물 두체포함일괄매도원함</t>
        </is>
      </c>
      <c r="L3234" s="6">
        <f>HYPERLINK("https://fin.land.naver.com/articles/2652660855", "매물Link")</f>
        <v/>
      </c>
      <c r="M3234" s="6">
        <f>HYPERLINK("https://map.naver.com/p/search/현도면 하석리 21-4", "지도Link")</f>
        <v/>
      </c>
      <c r="N3234" s="6">
        <f>HYPERLINK("http://www.eum.go.kr/web/ar/lu/luLandDet.jsp?pnu=4311232029100210004&amp;isNoScr=script&amp;mode=search", "토지이음")</f>
        <v/>
      </c>
      <c r="O3234" s="3" t="inlineStr">
        <is>
          <t>신동아영화</t>
        </is>
      </c>
      <c r="P3234" s="4" t="n">
        <v>1</v>
      </c>
      <c r="Q3234" s="4" t="n">
        <v>567</v>
      </c>
      <c r="R3234" s="3" t="inlineStr">
        <is>
          <t>지정되지않음</t>
        </is>
      </c>
      <c r="S3234" s="3" t="inlineStr">
        <is>
          <t>상업용</t>
        </is>
      </c>
      <c r="T3234" s="3" t="inlineStr">
        <is>
          <t>평지</t>
        </is>
      </c>
      <c r="U3234" s="3" t="inlineStr">
        <is>
          <t>세로장방</t>
        </is>
      </c>
      <c r="V3234" s="3" t="inlineStr">
        <is>
          <t>소로한면</t>
        </is>
      </c>
    </row>
    <row r="3235">
      <c r="A3235" s="3" t="inlineStr">
        <is>
          <t>현도면 하석리 471</t>
        </is>
      </c>
      <c r="B3235" s="3" t="inlineStr">
        <is>
          <t>개발제한구역</t>
        </is>
      </c>
      <c r="C3235" s="3" t="inlineStr">
        <is>
          <t>전</t>
        </is>
      </c>
      <c r="D3235" s="3" t="inlineStr">
        <is>
          <t>전</t>
        </is>
      </c>
      <c r="E3235" s="3" t="inlineStr">
        <is>
          <t>매매</t>
        </is>
      </c>
      <c r="F3235" s="4" t="n">
        <v>8000</v>
      </c>
      <c r="G3235" s="4" t="n">
        <v>1174</v>
      </c>
      <c r="H3235" s="4" t="n">
        <v>355</v>
      </c>
      <c r="I3235" s="5" t="n">
        <v>22.5</v>
      </c>
      <c r="J3235" s="5" t="n">
        <v>9.199999999999999</v>
      </c>
      <c r="K3235" s="3" t="inlineStr">
        <is>
          <t>청주시 서원구 현도면 하석리 토지매매</t>
        </is>
      </c>
      <c r="L3235" s="6">
        <f>HYPERLINK("https://fin.land.naver.com/articles/2655019426", "매물Link")</f>
        <v/>
      </c>
      <c r="M3235" s="6">
        <f>HYPERLINK("https://map.naver.com/p/search/현도면 하석리 471", "지도Link")</f>
        <v/>
      </c>
      <c r="N3235" s="6">
        <f>HYPERLINK("http://www.eum.go.kr/web/ar/lu/luLandDet.jsp?pnu=4311232029104710000&amp;isNoScr=script&amp;mode=search", "토지이음")</f>
        <v/>
      </c>
      <c r="O3235" s="3" t="inlineStr">
        <is>
          <t>포도</t>
        </is>
      </c>
      <c r="P3235" s="4" t="n">
        <v>1</v>
      </c>
      <c r="Q3235" s="4" t="n">
        <v>1174</v>
      </c>
      <c r="R3235" s="3" t="inlineStr">
        <is>
          <t>지정되지않음</t>
        </is>
      </c>
      <c r="S3235" s="3" t="inlineStr">
        <is>
          <t>전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맹지</t>
        </is>
      </c>
    </row>
    <row r="3236">
      <c r="A3236" s="3" t="inlineStr">
        <is>
          <t>현도면 하석리 560</t>
        </is>
      </c>
      <c r="B3236" s="3" t="inlineStr">
        <is>
          <t>개발제한구역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18000</v>
      </c>
      <c r="G3236" s="4" t="n">
        <v>2398</v>
      </c>
      <c r="H3236" s="4" t="n">
        <v>725</v>
      </c>
      <c r="I3236" s="5" t="n">
        <v>24.8</v>
      </c>
      <c r="J3236" s="5" t="n">
        <v>8.9</v>
      </c>
      <c r="K3236" s="3" t="inlineStr">
        <is>
          <t>접근성 아주 좋고 비옥한 토지입니다</t>
        </is>
      </c>
      <c r="L3236" s="6">
        <f>HYPERLINK("https://fin.land.naver.com/articles/2651423344", "매물Link")</f>
        <v/>
      </c>
      <c r="M3236" s="6">
        <f>HYPERLINK("https://map.naver.com/p/search/현도면 하석리 560", "지도Link")</f>
        <v/>
      </c>
      <c r="N3236" s="6">
        <f>HYPERLINK("http://www.eum.go.kr/web/ar/lu/luLandDet.jsp?pnu=4311232029105600000&amp;isNoScr=script&amp;mode=search", "토지이음")</f>
        <v/>
      </c>
      <c r="O3236" s="3" t="inlineStr">
        <is>
          <t>대웅</t>
        </is>
      </c>
      <c r="P3236" s="4" t="n">
        <v>1</v>
      </c>
      <c r="Q3236" s="4" t="n">
        <v>2398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하석리 660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15600</v>
      </c>
      <c r="G3237" s="4" t="n">
        <v>2038</v>
      </c>
      <c r="H3237" s="4" t="n">
        <v>616</v>
      </c>
      <c r="I3237" s="5" t="n">
        <v>25.3</v>
      </c>
      <c r="J3237" s="5" t="n">
        <v>11.3</v>
      </c>
      <c r="K3237" s="3" t="inlineStr">
        <is>
          <t>경지정리된 논이며 개발제한구역 입니다</t>
        </is>
      </c>
      <c r="L3237" s="6">
        <f>HYPERLINK("https://fin.land.naver.com/articles/2653571380", "매물Link")</f>
        <v/>
      </c>
      <c r="M3237" s="6">
        <f>HYPERLINK("https://map.naver.com/p/search/현도면 하석리 660", "지도Link")</f>
        <v/>
      </c>
      <c r="N3237" s="6">
        <f>HYPERLINK("http://www.eum.go.kr/web/ar/lu/luLandDet.jsp?pnu=4311232029106600000&amp;isNoScr=script&amp;mode=search", "토지이음")</f>
        <v/>
      </c>
      <c r="O3237" s="3" t="inlineStr">
        <is>
          <t>대웅</t>
        </is>
      </c>
      <c r="P3237" s="4" t="n">
        <v>1</v>
      </c>
      <c r="Q3237" s="4" t="n">
        <v>2038.1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평지</t>
        </is>
      </c>
      <c r="U3237" s="3" t="inlineStr">
        <is>
          <t>세로장방</t>
        </is>
      </c>
      <c r="V3237" s="3" t="inlineStr">
        <is>
          <t>세로한면(가)</t>
        </is>
      </c>
    </row>
    <row r="3238">
      <c r="A3238" s="3" t="inlineStr">
        <is>
          <t>현도면 하석리 산80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15000</v>
      </c>
      <c r="G3238" s="4" t="n">
        <v>19438</v>
      </c>
      <c r="H3238" s="4" t="n">
        <v>5880</v>
      </c>
      <c r="I3238" s="5" t="n">
        <v>2.6</v>
      </c>
      <c r="J3238" s="5" t="n">
        <v>1.9</v>
      </c>
      <c r="K3238" s="3" t="inlineStr">
        <is>
          <t>대청댐 인근 임야</t>
        </is>
      </c>
      <c r="L3238" s="6">
        <f>HYPERLINK("https://fin.land.naver.com/articles/2653857625", "매물Link")</f>
        <v/>
      </c>
      <c r="M3238" s="6">
        <f>HYPERLINK("https://map.naver.com/p/search/현도면 하석리 산80", "지도Link")</f>
        <v/>
      </c>
      <c r="N3238" s="6">
        <f>HYPERLINK("http://www.eum.go.kr/web/ar/lu/luLandDet.jsp?pnu=4311232029200800000&amp;isNoScr=script&amp;mode=search", "토지이음")</f>
        <v/>
      </c>
      <c r="O3238" s="3" t="inlineStr">
        <is>
          <t>한평</t>
        </is>
      </c>
      <c r="P3238" s="4" t="n">
        <v>1</v>
      </c>
      <c r="Q3238" s="4" t="n">
        <v>19438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맹지</t>
        </is>
      </c>
    </row>
  </sheetData>
  <autoFilter ref="A1:V32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2026-10-19T23:33:38Z</dcterms:created>
  <dcterms:modified xsi:type="dcterms:W3CDTF">2026-10-19T23:33:52Z</dcterms:modified>
</cp:coreProperties>
</file>